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 Case" sheetId="1" r:id="rId5"/>
    <sheet state="visible" name="Optimistic Case" sheetId="2" r:id="rId6"/>
  </sheets>
  <definedNames/>
  <calcPr/>
</workbook>
</file>

<file path=xl/sharedStrings.xml><?xml version="1.0" encoding="utf-8"?>
<sst xmlns="http://schemas.openxmlformats.org/spreadsheetml/2006/main" count="105" uniqueCount="55">
  <si>
    <t>Apply to our Intrinsic Value Community</t>
  </si>
  <si>
    <t>^^CLICK FILE --&gt; DOWNLOAD TO SAVE AND EDIT</t>
  </si>
  <si>
    <t xml:space="preserve"> =</t>
  </si>
  <si>
    <t>Input your own assumptions — Number in millions</t>
  </si>
  <si>
    <t>=</t>
  </si>
  <si>
    <t xml:space="preserve">Actuals </t>
  </si>
  <si>
    <t>Estimates</t>
  </si>
  <si>
    <t>Modeling Inputs — 5 Years</t>
  </si>
  <si>
    <t>2026-2028</t>
  </si>
  <si>
    <t>2028-2030</t>
  </si>
  <si>
    <t>FOA Revenues Growth Rate</t>
  </si>
  <si>
    <t>Dec 2023</t>
  </si>
  <si>
    <t>Dec 2024</t>
  </si>
  <si>
    <t>Reality Labs Revenues Growth Rate</t>
  </si>
  <si>
    <t>FOA Revenues</t>
  </si>
  <si>
    <t>Average Operating Margin</t>
  </si>
  <si>
    <t>Reality Labs Revenues</t>
  </si>
  <si>
    <t>Total Revenue</t>
  </si>
  <si>
    <t>Average Operating Income to FCF Conversion Ratio</t>
  </si>
  <si>
    <t>Operating Margin</t>
  </si>
  <si>
    <t>Dividend Payout Ratio</t>
  </si>
  <si>
    <t>Operating Income</t>
  </si>
  <si>
    <t xml:space="preserve">Share Inputs </t>
  </si>
  <si>
    <t>FCF Margin</t>
  </si>
  <si>
    <t>Current Stock Price</t>
  </si>
  <si>
    <t>FCF</t>
  </si>
  <si>
    <t>Average Annual Share Count Growth/Decline Rate</t>
  </si>
  <si>
    <t xml:space="preserve">Total Shares Outstanding </t>
  </si>
  <si>
    <t>FCF Per Share</t>
  </si>
  <si>
    <t>Summary Stats</t>
  </si>
  <si>
    <t>Dividends Per Share</t>
  </si>
  <si>
    <t>Implied Total Revenue CAGR</t>
  </si>
  <si>
    <t>Estimated Returns By Entry Price</t>
  </si>
  <si>
    <t>Implied 5-Year Operating Income CAGR</t>
  </si>
  <si>
    <t>Discount Rate</t>
  </si>
  <si>
    <t>Earnings Per Share 5-Year CAGR</t>
  </si>
  <si>
    <t>Margin of Safety Discount</t>
  </si>
  <si>
    <t>Implied Weighted Average Exit Multiple</t>
  </si>
  <si>
    <t>Fair Value (Not Include Margin of Safety)</t>
  </si>
  <si>
    <r>
      <rPr>
        <rFont val="Arial"/>
        <b/>
        <color theme="1"/>
      </rPr>
      <t xml:space="preserve">Implied IRR from </t>
    </r>
    <r>
      <rPr>
        <rFont val="Arial"/>
        <b/>
        <i/>
        <color theme="1"/>
      </rPr>
      <t>Current Price (w/Dividends)</t>
    </r>
  </si>
  <si>
    <r>
      <rPr>
        <rFont val="Arial"/>
        <b/>
        <color theme="1"/>
      </rPr>
      <t xml:space="preserve">Implied IRR from </t>
    </r>
    <r>
      <rPr>
        <rFont val="Arial"/>
        <b/>
        <i/>
        <color theme="1"/>
      </rPr>
      <t>Intrinsic Value Target  (w/Dividends)</t>
    </r>
  </si>
  <si>
    <t>Intrinsic Value Target (Margin of Safety)</t>
  </si>
  <si>
    <t>Range of Exit Multiples Analysis</t>
  </si>
  <si>
    <t>IRR Inputs</t>
  </si>
  <si>
    <t>2029 P/E Multiple</t>
  </si>
  <si>
    <t xml:space="preserve">Weighting </t>
  </si>
  <si>
    <t>Present Equity Value</t>
  </si>
  <si>
    <t>Start</t>
  </si>
  <si>
    <t xml:space="preserve">                    (Initial Investment — cash outlay for stock at different prices)</t>
  </si>
  <si>
    <t xml:space="preserve">Weighting Balance: </t>
  </si>
  <si>
    <t>(Feel free to adjust the range of multiples and weightings that you think are reasonable, weightings should balance to 1)</t>
  </si>
  <si>
    <t>———————————————————————</t>
  </si>
  <si>
    <t>&gt;</t>
  </si>
  <si>
    <r>
      <rPr>
        <rFont val="Arial"/>
        <b/>
        <color theme="1"/>
      </rPr>
      <t xml:space="preserve">Implied IRR from </t>
    </r>
    <r>
      <rPr>
        <rFont val="Arial"/>
        <b/>
        <i/>
        <color theme="1"/>
      </rPr>
      <t>Current Price (w/Dividends)</t>
    </r>
  </si>
  <si>
    <r>
      <rPr>
        <rFont val="Arial"/>
        <b/>
        <color theme="1"/>
      </rPr>
      <t xml:space="preserve">Implied IRR from </t>
    </r>
    <r>
      <rPr>
        <rFont val="Arial"/>
        <b/>
        <i/>
        <color theme="1"/>
      </rPr>
      <t>Intrinsic Value Target  (w/Dividends)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</si>
</sst>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mm yyyy"/>
    <numFmt numFmtId="166" formatCode="#,##0.000"/>
    <numFmt numFmtId="167" formatCode="[$€]#,##0.00"/>
  </numFmts>
  <fonts count="17">
    <font>
      <sz val="10.0"/>
      <color rgb="FF000000"/>
      <name val="Arial"/>
      <scheme val="minor"/>
    </font>
    <font>
      <b/>
      <color rgb="FF4285F4"/>
      <name val="Arial"/>
    </font>
    <font>
      <b/>
      <u/>
      <sz val="18.0"/>
      <color rgb="FF1155CC"/>
      <name val="Arial"/>
    </font>
    <font>
      <b/>
      <color theme="1"/>
      <name val="Arial"/>
    </font>
    <font>
      <color theme="1"/>
      <name val="Arial"/>
    </font>
    <font>
      <b/>
      <sz val="12.0"/>
      <color theme="1"/>
      <name val="Arial"/>
    </font>
    <font>
      <i/>
      <color theme="1"/>
      <name val="Arial"/>
    </font>
    <font/>
    <font>
      <sz val="11.0"/>
      <color theme="1"/>
      <name val="Arial"/>
    </font>
    <font>
      <sz val="13.0"/>
      <color theme="1"/>
      <name val="Arial"/>
    </font>
    <font>
      <b/>
      <sz val="24.0"/>
      <color theme="1"/>
      <name val="Arial"/>
    </font>
    <font>
      <b/>
      <sz val="13.0"/>
      <color theme="1"/>
      <name val="Arial"/>
    </font>
    <font>
      <b/>
      <sz val="18.0"/>
      <color theme="1"/>
      <name val="Arial"/>
    </font>
    <font>
      <b/>
      <sz val="17.0"/>
      <color theme="1"/>
      <name val="Arial"/>
    </font>
    <font>
      <color rgb="FFFF0000"/>
      <name val="Arial"/>
    </font>
    <font>
      <color rgb="FF6AA84F"/>
      <name val="Arial"/>
    </font>
    <font>
      <i/>
      <sz val="7.0"/>
      <color theme="1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C8DAF7"/>
        <bgColor rgb="FFC8DAF7"/>
      </patternFill>
    </fill>
    <fill>
      <patternFill patternType="solid">
        <fgColor rgb="FFC9DBF8"/>
        <bgColor rgb="FFC9DBF8"/>
      </patternFill>
    </fill>
    <fill>
      <patternFill patternType="solid">
        <fgColor rgb="FFC9DBF9"/>
        <bgColor rgb="FFC9DBF9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B7D7A8"/>
        <bgColor rgb="FFB7D7A8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3CC"/>
        <bgColor rgb="FFFFF3CC"/>
      </patternFill>
    </fill>
  </fills>
  <borders count="13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0" fillId="2" fontId="4" numFmtId="0" xfId="0" applyAlignment="1" applyFill="1" applyFont="1">
      <alignment vertical="bottom"/>
    </xf>
    <xf borderId="0" fillId="3" fontId="4" numFmtId="0" xfId="0" applyAlignment="1" applyFill="1" applyFont="1">
      <alignment vertical="bottom"/>
    </xf>
    <xf quotePrefix="1" borderId="0" fillId="0" fontId="3" numFmtId="0" xfId="0" applyAlignment="1" applyFont="1">
      <alignment horizontal="center" vertical="bottom"/>
    </xf>
    <xf borderId="0" fillId="4" fontId="4" numFmtId="0" xfId="0" applyAlignment="1" applyFill="1" applyFont="1">
      <alignment vertical="bottom"/>
    </xf>
    <xf borderId="0" fillId="0" fontId="4" numFmtId="164" xfId="0" applyAlignment="1" applyFont="1" applyNumberFormat="1">
      <alignment vertical="bottom"/>
    </xf>
    <xf borderId="1" fillId="0" fontId="5" numFmtId="0" xfId="0" applyAlignment="1" applyBorder="1" applyFont="1">
      <alignment horizontal="center" vertical="bottom"/>
    </xf>
    <xf borderId="1" fillId="0" fontId="5" numFmtId="0" xfId="0" applyAlignment="1" applyBorder="1" applyFont="1">
      <alignment horizontal="center" readingOrder="0" vertical="bottom"/>
    </xf>
    <xf borderId="0" fillId="0" fontId="4" numFmtId="0" xfId="0" applyAlignment="1" applyFont="1">
      <alignment horizontal="right" vertical="bottom"/>
    </xf>
    <xf borderId="0" fillId="0" fontId="3" numFmtId="0" xfId="0" applyAlignment="1" applyFont="1">
      <alignment readingOrder="0" vertical="bottom"/>
    </xf>
    <xf borderId="0" fillId="2" fontId="4" numFmtId="10" xfId="0" applyAlignment="1" applyFont="1" applyNumberFormat="1">
      <alignment horizontal="right" vertical="bottom"/>
    </xf>
    <xf borderId="0" fillId="2" fontId="4" numFmtId="10" xfId="0" applyAlignment="1" applyFont="1" applyNumberFormat="1">
      <alignment horizontal="right" readingOrder="0" vertical="bottom"/>
    </xf>
    <xf borderId="2" fillId="0" fontId="4" numFmtId="0" xfId="0" applyAlignment="1" applyBorder="1" applyFont="1">
      <alignment vertical="bottom"/>
    </xf>
    <xf quotePrefix="1" borderId="3" fillId="5" fontId="3" numFmtId="0" xfId="0" applyAlignment="1" applyBorder="1" applyFill="1" applyFont="1">
      <alignment horizontal="center" vertical="bottom"/>
    </xf>
    <xf quotePrefix="1" borderId="4" fillId="5" fontId="3" numFmtId="0" xfId="0" applyAlignment="1" applyBorder="1" applyFont="1">
      <alignment horizontal="center" vertical="bottom"/>
    </xf>
    <xf borderId="4" fillId="5" fontId="3" numFmtId="165" xfId="0" applyAlignment="1" applyBorder="1" applyFont="1" applyNumberFormat="1">
      <alignment horizontal="center" vertical="bottom"/>
    </xf>
    <xf borderId="4" fillId="4" fontId="3" numFmtId="165" xfId="0" applyAlignment="1" applyBorder="1" applyFont="1" applyNumberFormat="1">
      <alignment horizontal="center" vertical="bottom"/>
    </xf>
    <xf borderId="5" fillId="6" fontId="3" numFmtId="165" xfId="0" applyAlignment="1" applyBorder="1" applyFill="1" applyFont="1" applyNumberFormat="1">
      <alignment horizontal="right" vertical="bottom"/>
    </xf>
    <xf borderId="6" fillId="0" fontId="6" numFmtId="0" xfId="0" applyAlignment="1" applyBorder="1" applyFont="1">
      <alignment horizontal="right" readingOrder="0" vertical="bottom"/>
    </xf>
    <xf borderId="0" fillId="5" fontId="4" numFmtId="164" xfId="0" applyAlignment="1" applyFont="1" applyNumberFormat="1">
      <alignment horizontal="center" readingOrder="0" vertical="bottom"/>
    </xf>
    <xf borderId="0" fillId="7" fontId="4" numFmtId="164" xfId="0" applyAlignment="1" applyFill="1" applyFont="1" applyNumberFormat="1">
      <alignment horizontal="right" vertical="bottom"/>
    </xf>
    <xf borderId="7" fillId="7" fontId="4" numFmtId="164" xfId="0" applyAlignment="1" applyBorder="1" applyFont="1" applyNumberFormat="1">
      <alignment horizontal="right" vertical="bottom"/>
    </xf>
    <xf borderId="0" fillId="5" fontId="6" numFmtId="164" xfId="0" applyAlignment="1" applyFont="1" applyNumberFormat="1">
      <alignment horizontal="center" readingOrder="0" vertical="bottom"/>
    </xf>
    <xf borderId="0" fillId="4" fontId="6" numFmtId="164" xfId="0" applyAlignment="1" applyFont="1" applyNumberFormat="1">
      <alignment horizontal="right" vertical="bottom"/>
    </xf>
    <xf borderId="7" fillId="4" fontId="6" numFmtId="164" xfId="0" applyAlignment="1" applyBorder="1" applyFont="1" applyNumberFormat="1">
      <alignment horizontal="right" vertical="bottom"/>
    </xf>
    <xf borderId="8" fillId="0" fontId="3" numFmtId="0" xfId="0" applyAlignment="1" applyBorder="1" applyFont="1">
      <alignment horizontal="center" vertical="bottom"/>
    </xf>
    <xf borderId="1" fillId="5" fontId="6" numFmtId="164" xfId="0" applyAlignment="1" applyBorder="1" applyFont="1" applyNumberFormat="1">
      <alignment horizontal="center" vertical="bottom"/>
    </xf>
    <xf borderId="1" fillId="5" fontId="4" numFmtId="164" xfId="0" applyAlignment="1" applyBorder="1" applyFont="1" applyNumberFormat="1">
      <alignment horizontal="center" readingOrder="0" vertical="bottom"/>
    </xf>
    <xf borderId="1" fillId="4" fontId="6" numFmtId="164" xfId="0" applyAlignment="1" applyBorder="1" applyFont="1" applyNumberFormat="1">
      <alignment horizontal="right" vertical="bottom"/>
    </xf>
    <xf borderId="9" fillId="4" fontId="6" numFmtId="164" xfId="0" applyAlignment="1" applyBorder="1" applyFont="1" applyNumberFormat="1">
      <alignment horizontal="right" vertical="bottom"/>
    </xf>
    <xf borderId="0" fillId="2" fontId="4" numFmtId="4" xfId="0" applyAlignment="1" applyFont="1" applyNumberFormat="1">
      <alignment horizontal="right" vertical="bottom"/>
    </xf>
    <xf borderId="0" fillId="2" fontId="4" numFmtId="4" xfId="0" applyAlignment="1" applyFont="1" applyNumberFormat="1">
      <alignment horizontal="right" readingOrder="0" vertical="bottom"/>
    </xf>
    <xf borderId="6" fillId="0" fontId="6" numFmtId="0" xfId="0" applyAlignment="1" applyBorder="1" applyFont="1">
      <alignment horizontal="right" vertical="bottom"/>
    </xf>
    <xf borderId="0" fillId="5" fontId="4" numFmtId="10" xfId="0" applyAlignment="1" applyFont="1" applyNumberFormat="1">
      <alignment horizontal="center" vertical="bottom"/>
    </xf>
    <xf borderId="0" fillId="4" fontId="4" numFmtId="10" xfId="0" applyAlignment="1" applyFont="1" applyNumberFormat="1">
      <alignment horizontal="right" vertical="bottom"/>
    </xf>
    <xf borderId="7" fillId="4" fontId="4" numFmtId="10" xfId="0" applyAlignment="1" applyBorder="1" applyFont="1" applyNumberFormat="1">
      <alignment horizontal="right" vertical="bottom"/>
    </xf>
    <xf borderId="0" fillId="2" fontId="4" numFmtId="9" xfId="0" applyAlignment="1" applyFont="1" applyNumberFormat="1">
      <alignment horizontal="right" readingOrder="0" vertical="bottom"/>
    </xf>
    <xf borderId="1" fillId="8" fontId="4" numFmtId="164" xfId="0" applyAlignment="1" applyBorder="1" applyFill="1" applyFont="1" applyNumberFormat="1">
      <alignment horizontal="right" vertical="bottom"/>
    </xf>
    <xf borderId="9" fillId="8" fontId="4" numFmtId="164" xfId="0" applyAlignment="1" applyBorder="1" applyFont="1" applyNumberFormat="1">
      <alignment horizontal="right" vertical="bottom"/>
    </xf>
    <xf borderId="1" fillId="0" fontId="7" numFmtId="0" xfId="0" applyBorder="1" applyFont="1"/>
    <xf borderId="2" fillId="0" fontId="6" numFmtId="0" xfId="0" applyAlignment="1" applyBorder="1" applyFont="1">
      <alignment horizontal="right" readingOrder="0" vertical="bottom"/>
    </xf>
    <xf borderId="10" fillId="5" fontId="6" numFmtId="10" xfId="0" applyAlignment="1" applyBorder="1" applyFont="1" applyNumberFormat="1">
      <alignment horizontal="center" vertical="bottom"/>
    </xf>
    <xf borderId="10" fillId="5" fontId="6" numFmtId="10" xfId="0" applyAlignment="1" applyBorder="1" applyFont="1" applyNumberFormat="1">
      <alignment horizontal="right" vertical="bottom"/>
    </xf>
    <xf borderId="10" fillId="4" fontId="6" numFmtId="10" xfId="0" applyAlignment="1" applyBorder="1" applyFont="1" applyNumberFormat="1">
      <alignment horizontal="right" vertical="bottom"/>
    </xf>
    <xf borderId="11" fillId="4" fontId="6" numFmtId="10" xfId="0" applyAlignment="1" applyBorder="1" applyFont="1" applyNumberFormat="1">
      <alignment horizontal="right" vertical="bottom"/>
    </xf>
    <xf borderId="0" fillId="2" fontId="4" numFmtId="164" xfId="0" applyAlignment="1" applyFont="1" applyNumberFormat="1">
      <alignment horizontal="right" readingOrder="0" vertical="bottom"/>
    </xf>
    <xf borderId="6" fillId="0" fontId="3" numFmtId="0" xfId="0" applyAlignment="1" applyBorder="1" applyFont="1">
      <alignment horizontal="center" readingOrder="0" vertical="bottom"/>
    </xf>
    <xf borderId="0" fillId="5" fontId="4" numFmtId="164" xfId="0" applyAlignment="1" applyFont="1" applyNumberFormat="1">
      <alignment horizontal="right" readingOrder="0" vertical="bottom"/>
    </xf>
    <xf borderId="0" fillId="4" fontId="4" numFmtId="164" xfId="0" applyAlignment="1" applyFont="1" applyNumberFormat="1">
      <alignment horizontal="right" vertical="bottom"/>
    </xf>
    <xf borderId="7" fillId="4" fontId="4" numFmtId="164" xfId="0" applyAlignment="1" applyBorder="1" applyFont="1" applyNumberFormat="1">
      <alignment horizontal="right" vertical="bottom"/>
    </xf>
    <xf borderId="0" fillId="2" fontId="8" numFmtId="10" xfId="0" applyAlignment="1" applyFont="1" applyNumberFormat="1">
      <alignment horizontal="right" readingOrder="0" vertical="bottom"/>
    </xf>
    <xf borderId="2" fillId="0" fontId="3" numFmtId="0" xfId="0" applyAlignment="1" applyBorder="1" applyFont="1">
      <alignment horizontal="center" vertical="bottom"/>
    </xf>
    <xf borderId="10" fillId="5" fontId="4" numFmtId="4" xfId="0" applyAlignment="1" applyBorder="1" applyFont="1" applyNumberFormat="1">
      <alignment horizontal="center" readingOrder="0" vertical="bottom"/>
    </xf>
    <xf borderId="10" fillId="5" fontId="4" numFmtId="4" xfId="0" applyAlignment="1" applyBorder="1" applyFont="1" applyNumberFormat="1">
      <alignment horizontal="right" readingOrder="0" vertical="bottom"/>
    </xf>
    <xf borderId="10" fillId="4" fontId="4" numFmtId="4" xfId="0" applyAlignment="1" applyBorder="1" applyFont="1" applyNumberFormat="1">
      <alignment horizontal="right" vertical="bottom"/>
    </xf>
    <xf borderId="11" fillId="4" fontId="4" numFmtId="4" xfId="0" applyAlignment="1" applyBorder="1" applyFont="1" applyNumberFormat="1">
      <alignment horizontal="right" vertical="bottom"/>
    </xf>
    <xf borderId="0" fillId="0" fontId="4" numFmtId="10" xfId="0" applyAlignment="1" applyFont="1" applyNumberFormat="1">
      <alignment vertical="bottom"/>
    </xf>
    <xf borderId="0" fillId="5" fontId="4" numFmtId="164" xfId="0" applyAlignment="1" applyFont="1" applyNumberFormat="1">
      <alignment horizontal="right" vertical="bottom"/>
    </xf>
    <xf borderId="1" fillId="5" fontId="4" numFmtId="164" xfId="0" applyAlignment="1" applyBorder="1" applyFont="1" applyNumberFormat="1">
      <alignment horizontal="right" readingOrder="0" vertical="bottom"/>
    </xf>
    <xf borderId="1" fillId="7" fontId="4" numFmtId="164" xfId="0" applyAlignment="1" applyBorder="1" applyFont="1" applyNumberFormat="1">
      <alignment horizontal="right" vertical="bottom"/>
    </xf>
    <xf borderId="9" fillId="7" fontId="4" numFmtId="164" xfId="0" applyAlignment="1" applyBorder="1" applyFont="1" applyNumberFormat="1">
      <alignment horizontal="right" vertical="bottom"/>
    </xf>
    <xf borderId="0" fillId="0" fontId="4" numFmtId="10" xfId="0" applyAlignment="1" applyFont="1" applyNumberFormat="1">
      <alignment horizontal="right" vertical="bottom"/>
    </xf>
    <xf borderId="6" fillId="0" fontId="4" numFmtId="0" xfId="0" applyAlignment="1" applyBorder="1" applyFont="1">
      <alignment vertical="bottom"/>
    </xf>
    <xf borderId="9" fillId="0" fontId="7" numFmtId="0" xfId="0" applyBorder="1" applyFont="1"/>
    <xf borderId="0" fillId="0" fontId="4" numFmtId="164" xfId="0" applyAlignment="1" applyFont="1" applyNumberFormat="1">
      <alignment vertical="bottom"/>
    </xf>
    <xf borderId="6" fillId="0" fontId="3" numFmtId="0" xfId="0" applyAlignment="1" applyBorder="1" applyFont="1">
      <alignment horizontal="center" vertical="bottom"/>
    </xf>
    <xf borderId="0" fillId="2" fontId="4" numFmtId="10" xfId="0" applyAlignment="1" applyFont="1" applyNumberFormat="1">
      <alignment horizontal="center" vertical="bottom"/>
    </xf>
    <xf borderId="6" fillId="9" fontId="4" numFmtId="164" xfId="0" applyAlignment="1" applyBorder="1" applyFill="1" applyFont="1" applyNumberFormat="1">
      <alignment horizontal="right" readingOrder="0" vertical="bottom"/>
    </xf>
    <xf borderId="7" fillId="9" fontId="6" numFmtId="10" xfId="0" applyAlignment="1" applyBorder="1" applyFont="1" applyNumberFormat="1">
      <alignment horizontal="right" vertical="bottom"/>
    </xf>
    <xf borderId="0" fillId="2" fontId="4" numFmtId="9" xfId="0" applyAlignment="1" applyFont="1" applyNumberFormat="1">
      <alignment horizontal="center" readingOrder="0" vertical="bottom"/>
    </xf>
    <xf borderId="0" fillId="0" fontId="4" numFmtId="2" xfId="0" applyAlignment="1" applyFont="1" applyNumberFormat="1">
      <alignment horizontal="right" vertical="bottom"/>
    </xf>
    <xf borderId="0" fillId="0" fontId="4" numFmtId="164" xfId="0" applyAlignment="1" applyFont="1" applyNumberFormat="1">
      <alignment horizontal="center" vertical="bottom"/>
    </xf>
    <xf borderId="6" fillId="10" fontId="4" numFmtId="164" xfId="0" applyAlignment="1" applyBorder="1" applyFill="1" applyFont="1" applyNumberFormat="1">
      <alignment horizontal="right" readingOrder="0" vertical="bottom"/>
    </xf>
    <xf borderId="7" fillId="11" fontId="6" numFmtId="10" xfId="0" applyAlignment="1" applyBorder="1" applyFill="1" applyFont="1" applyNumberFormat="1">
      <alignment horizontal="right" vertical="bottom"/>
    </xf>
    <xf borderId="0" fillId="0" fontId="9" numFmtId="0" xfId="0" applyAlignment="1" applyFont="1">
      <alignment horizontal="right" vertical="bottom"/>
    </xf>
    <xf borderId="0" fillId="0" fontId="10" numFmtId="0" xfId="0" applyAlignment="1" applyFont="1">
      <alignment horizontal="center"/>
    </xf>
    <xf borderId="0" fillId="0" fontId="4" numFmtId="10" xfId="0" applyAlignment="1" applyFont="1" applyNumberFormat="1">
      <alignment horizontal="center" vertical="bottom"/>
    </xf>
    <xf borderId="6" fillId="12" fontId="4" numFmtId="164" xfId="0" applyAlignment="1" applyBorder="1" applyFill="1" applyFont="1" applyNumberFormat="1">
      <alignment horizontal="right" readingOrder="0" vertical="bottom"/>
    </xf>
    <xf borderId="7" fillId="12" fontId="6" numFmtId="10" xfId="0" applyAlignment="1" applyBorder="1" applyFont="1" applyNumberFormat="1">
      <alignment horizontal="right" vertical="bottom"/>
    </xf>
    <xf borderId="3" fillId="0" fontId="3" numFmtId="0" xfId="0" applyAlignment="1" applyBorder="1" applyFont="1">
      <alignment horizontal="center" vertical="bottom"/>
    </xf>
    <xf borderId="12" fillId="0" fontId="11" numFmtId="164" xfId="0" applyAlignment="1" applyBorder="1" applyFont="1" applyNumberFormat="1">
      <alignment horizontal="center" vertical="bottom"/>
    </xf>
    <xf borderId="8" fillId="13" fontId="4" numFmtId="164" xfId="0" applyAlignment="1" applyBorder="1" applyFill="1" applyFont="1" applyNumberFormat="1">
      <alignment horizontal="right" readingOrder="0" vertical="bottom"/>
    </xf>
    <xf borderId="9" fillId="14" fontId="6" numFmtId="10" xfId="0" applyAlignment="1" applyBorder="1" applyFill="1" applyFont="1" applyNumberFormat="1">
      <alignment horizontal="right" vertical="bottom"/>
    </xf>
    <xf borderId="1" fillId="0" fontId="12" numFmtId="0" xfId="0" applyAlignment="1" applyBorder="1" applyFont="1">
      <alignment horizontal="center" vertical="bottom"/>
    </xf>
    <xf borderId="1" fillId="0" fontId="13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 readingOrder="0" vertical="bottom"/>
    </xf>
    <xf borderId="0" fillId="2" fontId="4" numFmtId="0" xfId="0" applyAlignment="1" applyFont="1">
      <alignment horizontal="right" readingOrder="0" vertical="bottom"/>
    </xf>
    <xf borderId="0" fillId="2" fontId="4" numFmtId="0" xfId="0" applyAlignment="1" applyFont="1">
      <alignment horizontal="center" vertical="bottom"/>
    </xf>
    <xf borderId="0" fillId="0" fontId="4" numFmtId="164" xfId="0" applyAlignment="1" applyFont="1" applyNumberFormat="1">
      <alignment horizontal="right" vertical="bottom"/>
    </xf>
    <xf borderId="0" fillId="0" fontId="14" numFmtId="164" xfId="0" applyAlignment="1" applyFont="1" applyNumberFormat="1">
      <alignment horizontal="right" vertical="bottom"/>
    </xf>
    <xf borderId="0" fillId="0" fontId="15" numFmtId="164" xfId="0" applyAlignment="1" applyFont="1" applyNumberFormat="1">
      <alignment horizontal="right" vertical="bottom"/>
    </xf>
    <xf borderId="0" fillId="2" fontId="4" numFmtId="0" xfId="0" applyAlignment="1" applyFont="1">
      <alignment horizontal="center" readingOrder="0" vertical="bottom"/>
    </xf>
    <xf borderId="0" fillId="2" fontId="4" numFmtId="0" xfId="0" applyAlignment="1" applyFont="1">
      <alignment horizontal="right" vertical="bottom"/>
    </xf>
    <xf borderId="0" fillId="2" fontId="4" numFmtId="166" xfId="0" applyAlignment="1" applyFont="1" applyNumberFormat="1">
      <alignment horizontal="center" vertical="bottom"/>
    </xf>
    <xf borderId="0" fillId="0" fontId="16" numFmtId="0" xfId="0" applyAlignment="1" applyFont="1">
      <alignment horizontal="center" vertical="bottom"/>
    </xf>
    <xf borderId="0" fillId="0" fontId="4" numFmtId="167" xfId="0" applyAlignment="1" applyFont="1" applyNumberFormat="1">
      <alignment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horizontal="center" vertical="bottom"/>
    </xf>
    <xf borderId="0" fillId="0" fontId="6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heinvestorspodcast.com/intrinsic-value-community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50.88"/>
    <col customWidth="1" min="4" max="4" width="10.25"/>
    <col customWidth="1" min="5" max="5" width="47.13"/>
    <col customWidth="1" min="7" max="7" width="16.75"/>
  </cols>
  <sheetData>
    <row r="1">
      <c r="A1" s="1"/>
      <c r="B1" s="2" t="s">
        <v>0</v>
      </c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>
      <c r="A2" s="1"/>
      <c r="B2" s="1"/>
      <c r="C2" s="1"/>
      <c r="D2" s="4"/>
      <c r="E2" s="3"/>
      <c r="F2" s="5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1" t="s">
        <v>1</v>
      </c>
      <c r="D3" s="4"/>
      <c r="E3" s="6"/>
      <c r="F3" s="5" t="s">
        <v>2</v>
      </c>
      <c r="G3" s="3" t="s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4"/>
      <c r="B4" s="4"/>
      <c r="C4" s="4"/>
      <c r="D4" s="4"/>
      <c r="E4" s="7"/>
      <c r="F4" s="8" t="s">
        <v>4</v>
      </c>
      <c r="G4" s="3" t="s">
        <v>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4"/>
      <c r="B5" s="4"/>
      <c r="C5" s="4"/>
      <c r="D5" s="4"/>
      <c r="E5" s="9"/>
      <c r="F5" s="8" t="s">
        <v>4</v>
      </c>
      <c r="G5" s="3" t="s">
        <v>6</v>
      </c>
      <c r="H5" s="10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4"/>
      <c r="B6" s="4"/>
      <c r="C6" s="4"/>
      <c r="D6" s="4"/>
      <c r="E6" s="4"/>
      <c r="F6" s="4"/>
      <c r="G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11"/>
      <c r="B7" s="11" t="s">
        <v>7</v>
      </c>
      <c r="C7" s="12" t="s">
        <v>8</v>
      </c>
      <c r="D7" s="12" t="s">
        <v>9</v>
      </c>
      <c r="E7" s="4"/>
      <c r="F7" s="5">
        <v>-2.0</v>
      </c>
      <c r="G7" s="5">
        <v>-1.0</v>
      </c>
      <c r="H7" s="13">
        <v>0.0</v>
      </c>
      <c r="I7" s="5">
        <v>1.0</v>
      </c>
      <c r="J7" s="5">
        <v>2.0</v>
      </c>
      <c r="K7" s="5">
        <v>3.0</v>
      </c>
      <c r="L7" s="5">
        <v>4.0</v>
      </c>
      <c r="M7" s="5">
        <v>5.0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4"/>
      <c r="B8" s="14" t="s">
        <v>10</v>
      </c>
      <c r="C8" s="15">
        <v>0.15</v>
      </c>
      <c r="D8" s="16">
        <v>0.12</v>
      </c>
      <c r="E8" s="17"/>
      <c r="F8" s="18" t="s">
        <v>11</v>
      </c>
      <c r="G8" s="19" t="s">
        <v>12</v>
      </c>
      <c r="H8" s="20">
        <v>45992.0</v>
      </c>
      <c r="I8" s="21">
        <v>46357.0</v>
      </c>
      <c r="J8" s="21">
        <v>46722.0</v>
      </c>
      <c r="K8" s="21">
        <v>47088.0</v>
      </c>
      <c r="L8" s="21">
        <v>47453.0</v>
      </c>
      <c r="M8" s="22">
        <v>47818.0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4"/>
      <c r="B9" s="14" t="s">
        <v>13</v>
      </c>
      <c r="C9" s="16">
        <v>0.15</v>
      </c>
      <c r="D9" s="16">
        <v>0.2</v>
      </c>
      <c r="E9" s="23" t="s">
        <v>14</v>
      </c>
      <c r="F9" s="24">
        <v>133948.0</v>
      </c>
      <c r="G9" s="24">
        <v>162355.0</v>
      </c>
      <c r="H9" s="24">
        <v>187122.0</v>
      </c>
      <c r="I9" s="25">
        <f t="shared" ref="I9:M9" si="1">H9*(1+$C$8)</f>
        <v>215190.3</v>
      </c>
      <c r="J9" s="25">
        <f t="shared" si="1"/>
        <v>247468.845</v>
      </c>
      <c r="K9" s="25">
        <f t="shared" si="1"/>
        <v>284589.1718</v>
      </c>
      <c r="L9" s="25">
        <f t="shared" si="1"/>
        <v>327277.5475</v>
      </c>
      <c r="M9" s="26">
        <f t="shared" si="1"/>
        <v>376369.1796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4"/>
      <c r="B10" s="3" t="s">
        <v>15</v>
      </c>
      <c r="C10" s="16">
        <v>0.385</v>
      </c>
      <c r="D10" s="16">
        <v>0.41</v>
      </c>
      <c r="E10" s="23" t="s">
        <v>16</v>
      </c>
      <c r="F10" s="27">
        <v>1896.0</v>
      </c>
      <c r="G10" s="27">
        <v>2146.0</v>
      </c>
      <c r="H10" s="24">
        <v>2335.0</v>
      </c>
      <c r="I10" s="28">
        <f t="shared" ref="I10:K10" si="2">H10*(1+$C$9)</f>
        <v>2685.25</v>
      </c>
      <c r="J10" s="28">
        <f t="shared" si="2"/>
        <v>3088.0375</v>
      </c>
      <c r="K10" s="28">
        <f t="shared" si="2"/>
        <v>3551.243125</v>
      </c>
      <c r="L10" s="28">
        <f t="shared" ref="L10:M10" si="3">K10*(1+$D$9)</f>
        <v>4261.49175</v>
      </c>
      <c r="M10" s="29">
        <f t="shared" si="3"/>
        <v>5113.7901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4"/>
      <c r="B11" s="4"/>
      <c r="C11" s="4"/>
      <c r="D11" s="4"/>
      <c r="E11" s="30" t="s">
        <v>17</v>
      </c>
      <c r="F11" s="31">
        <f t="shared" ref="F11:M11" si="4">SUM(F9:F10)</f>
        <v>135844</v>
      </c>
      <c r="G11" s="31">
        <f t="shared" si="4"/>
        <v>164501</v>
      </c>
      <c r="H11" s="32">
        <f t="shared" si="4"/>
        <v>189457</v>
      </c>
      <c r="I11" s="33">
        <f t="shared" si="4"/>
        <v>217875.55</v>
      </c>
      <c r="J11" s="33">
        <f t="shared" si="4"/>
        <v>250556.8825</v>
      </c>
      <c r="K11" s="33">
        <f t="shared" si="4"/>
        <v>288140.4149</v>
      </c>
      <c r="L11" s="33">
        <f t="shared" si="4"/>
        <v>331539.0393</v>
      </c>
      <c r="M11" s="34">
        <f t="shared" si="4"/>
        <v>381482.9697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4"/>
      <c r="B12" s="14" t="s">
        <v>18</v>
      </c>
      <c r="C12" s="35">
        <f>70%</f>
        <v>0.7</v>
      </c>
      <c r="D12" s="36">
        <v>0.8</v>
      </c>
      <c r="E12" s="37" t="s">
        <v>19</v>
      </c>
      <c r="F12" s="38">
        <f t="shared" ref="F12:G12" si="5">F13/F11</f>
        <v>0.3441521157</v>
      </c>
      <c r="G12" s="38">
        <f t="shared" si="5"/>
        <v>0.421760354</v>
      </c>
      <c r="H12" s="38">
        <f t="shared" ref="H12:K12" si="6">$C$10</f>
        <v>0.385</v>
      </c>
      <c r="I12" s="39">
        <f t="shared" si="6"/>
        <v>0.385</v>
      </c>
      <c r="J12" s="39">
        <f t="shared" si="6"/>
        <v>0.385</v>
      </c>
      <c r="K12" s="39">
        <f t="shared" si="6"/>
        <v>0.385</v>
      </c>
      <c r="L12" s="39">
        <f t="shared" ref="L12:M12" si="7">$D$10</f>
        <v>0.41</v>
      </c>
      <c r="M12" s="40">
        <f t="shared" si="7"/>
        <v>0.41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4"/>
      <c r="B13" s="3" t="s">
        <v>20</v>
      </c>
      <c r="C13" s="41">
        <v>0.08</v>
      </c>
      <c r="D13" s="4"/>
      <c r="E13" s="30" t="s">
        <v>21</v>
      </c>
      <c r="F13" s="32">
        <v>46751.0</v>
      </c>
      <c r="G13" s="32">
        <v>69380.0</v>
      </c>
      <c r="H13" s="32">
        <v>81896.0</v>
      </c>
      <c r="I13" s="42">
        <f t="shared" ref="I13:M13" si="8">I11*I12</f>
        <v>83882.08675</v>
      </c>
      <c r="J13" s="42">
        <f t="shared" si="8"/>
        <v>96464.39976</v>
      </c>
      <c r="K13" s="42">
        <f t="shared" si="8"/>
        <v>110934.0597</v>
      </c>
      <c r="L13" s="42">
        <f t="shared" si="8"/>
        <v>135931.0061</v>
      </c>
      <c r="M13" s="43">
        <f t="shared" si="8"/>
        <v>156408.0176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A14" s="4"/>
      <c r="B14" s="11" t="s">
        <v>22</v>
      </c>
      <c r="C14" s="44"/>
      <c r="D14" s="4"/>
      <c r="E14" s="45" t="s">
        <v>23</v>
      </c>
      <c r="F14" s="46">
        <f t="shared" ref="F14:M14" si="9">F15/F11</f>
        <v>0.3244015194</v>
      </c>
      <c r="G14" s="46">
        <f t="shared" si="9"/>
        <v>0.328703169</v>
      </c>
      <c r="H14" s="47">
        <f t="shared" si="9"/>
        <v>0.2366816745</v>
      </c>
      <c r="I14" s="48">
        <f t="shared" si="9"/>
        <v>0.2695</v>
      </c>
      <c r="J14" s="48">
        <f t="shared" si="9"/>
        <v>0.2695</v>
      </c>
      <c r="K14" s="48">
        <f t="shared" si="9"/>
        <v>0.2695</v>
      </c>
      <c r="L14" s="48">
        <f t="shared" si="9"/>
        <v>0.287</v>
      </c>
      <c r="M14" s="49">
        <f t="shared" si="9"/>
        <v>0.287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4"/>
      <c r="B15" s="3" t="s">
        <v>24</v>
      </c>
      <c r="C15" s="50">
        <v>612.0</v>
      </c>
      <c r="D15" s="4"/>
      <c r="E15" s="51" t="s">
        <v>25</v>
      </c>
      <c r="F15" s="24">
        <v>44068.0</v>
      </c>
      <c r="G15" s="24">
        <v>54072.0</v>
      </c>
      <c r="H15" s="52">
        <v>44841.0</v>
      </c>
      <c r="I15" s="53">
        <f t="shared" ref="I15:M15" si="10">I13*$C$12</f>
        <v>58717.46073</v>
      </c>
      <c r="J15" s="53">
        <f t="shared" si="10"/>
        <v>67525.07983</v>
      </c>
      <c r="K15" s="53">
        <f t="shared" si="10"/>
        <v>77653.84181</v>
      </c>
      <c r="L15" s="53">
        <f t="shared" si="10"/>
        <v>95151.70427</v>
      </c>
      <c r="M15" s="54">
        <f t="shared" si="10"/>
        <v>109485.6123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4"/>
      <c r="B16" s="3" t="s">
        <v>26</v>
      </c>
      <c r="C16" s="55">
        <v>-0.015</v>
      </c>
      <c r="D16" s="4"/>
      <c r="E16" s="56" t="s">
        <v>27</v>
      </c>
      <c r="F16" s="57">
        <v>2629.0</v>
      </c>
      <c r="G16" s="57">
        <v>2614.0</v>
      </c>
      <c r="H16" s="58">
        <v>2582.8</v>
      </c>
      <c r="I16" s="59">
        <f t="shared" ref="I16:M16" si="11">H16*(1+$C$16)</f>
        <v>2544.058</v>
      </c>
      <c r="J16" s="59">
        <f t="shared" si="11"/>
        <v>2505.89713</v>
      </c>
      <c r="K16" s="59">
        <f t="shared" si="11"/>
        <v>2468.308673</v>
      </c>
      <c r="L16" s="59">
        <f t="shared" si="11"/>
        <v>2431.284043</v>
      </c>
      <c r="M16" s="60">
        <f t="shared" si="11"/>
        <v>2394.814782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4"/>
      <c r="B17" s="4"/>
      <c r="C17" s="4"/>
      <c r="D17" s="61"/>
      <c r="E17" s="51" t="s">
        <v>28</v>
      </c>
      <c r="F17" s="24">
        <v>16.8</v>
      </c>
      <c r="G17" s="24">
        <v>20.7</v>
      </c>
      <c r="H17" s="62">
        <f t="shared" ref="H17:M17" si="12">H15/H16</f>
        <v>17.36139074</v>
      </c>
      <c r="I17" s="53">
        <f t="shared" si="12"/>
        <v>23.08023666</v>
      </c>
      <c r="J17" s="53">
        <f t="shared" si="12"/>
        <v>26.9464692</v>
      </c>
      <c r="K17" s="53">
        <f t="shared" si="12"/>
        <v>31.46034475</v>
      </c>
      <c r="L17" s="53">
        <f t="shared" si="12"/>
        <v>39.13639977</v>
      </c>
      <c r="M17" s="54">
        <f t="shared" si="12"/>
        <v>45.71777873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A18" s="4"/>
      <c r="B18" s="11" t="s">
        <v>29</v>
      </c>
      <c r="C18" s="44"/>
      <c r="D18" s="61"/>
      <c r="E18" s="30" t="s">
        <v>30</v>
      </c>
      <c r="F18" s="32">
        <v>0.0</v>
      </c>
      <c r="G18" s="32">
        <v>2.0</v>
      </c>
      <c r="H18" s="63">
        <v>2.1</v>
      </c>
      <c r="I18" s="64">
        <f t="shared" ref="I18:M18" si="13">(I15*$C$13)/I16</f>
        <v>1.846418933</v>
      </c>
      <c r="J18" s="64">
        <f t="shared" si="13"/>
        <v>2.155717536</v>
      </c>
      <c r="K18" s="64">
        <f t="shared" si="13"/>
        <v>2.51682758</v>
      </c>
      <c r="L18" s="64">
        <f t="shared" si="13"/>
        <v>3.130911982</v>
      </c>
      <c r="M18" s="65">
        <f t="shared" si="13"/>
        <v>3.657422298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4"/>
      <c r="B19" s="3" t="s">
        <v>31</v>
      </c>
      <c r="C19" s="66">
        <f>(M11/H11)^(1/5)-1</f>
        <v>0.1502517423</v>
      </c>
      <c r="D19" s="4"/>
      <c r="E19" s="67"/>
      <c r="F19" s="4"/>
      <c r="G19" s="30" t="s">
        <v>32</v>
      </c>
      <c r="H19" s="68"/>
      <c r="I19" s="69"/>
      <c r="J19" s="10"/>
      <c r="K19" s="10"/>
      <c r="L19" s="10"/>
      <c r="M19" s="6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4"/>
      <c r="B20" s="14" t="s">
        <v>33</v>
      </c>
      <c r="C20" s="66">
        <f>(M13/H13)^(1/5)-1</f>
        <v>0.138149375</v>
      </c>
      <c r="D20" s="4"/>
      <c r="E20" s="70" t="s">
        <v>34</v>
      </c>
      <c r="F20" s="71">
        <v>0.08</v>
      </c>
      <c r="G20" s="72">
        <v>550.0</v>
      </c>
      <c r="H20" s="73">
        <f t="shared" ref="H20:H26" si="14">IRR(I32:O32)</f>
        <v>0.1588658418</v>
      </c>
      <c r="I20" s="69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4"/>
      <c r="B21" s="14" t="s">
        <v>35</v>
      </c>
      <c r="C21" s="66">
        <f>(M17/H17)^(1/5)-1</f>
        <v>0.2136686166</v>
      </c>
      <c r="D21" s="4"/>
      <c r="E21" s="70" t="s">
        <v>36</v>
      </c>
      <c r="F21" s="74">
        <v>0.1</v>
      </c>
      <c r="G21" s="72">
        <v>580.0</v>
      </c>
      <c r="H21" s="73">
        <f t="shared" si="14"/>
        <v>0.1465506946</v>
      </c>
      <c r="I21" s="4"/>
      <c r="J21" s="4"/>
      <c r="K21" s="4"/>
      <c r="L21" s="4"/>
      <c r="M21" s="10"/>
      <c r="N21" s="69"/>
      <c r="O21" s="69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4"/>
      <c r="B22" s="3" t="s">
        <v>37</v>
      </c>
      <c r="C22" s="75">
        <f>(E30*F30)+(E31*F31)+(E32*F32)+(E33*F33)+(E34*F34)+(E35*F35)+(E36*F36)+(E37*F37)+(E38*F38)+(E39*F39)+(E40*F40)</f>
        <v>24.925</v>
      </c>
      <c r="D22" s="4"/>
      <c r="E22" s="70" t="s">
        <v>38</v>
      </c>
      <c r="F22" s="76">
        <f>SUMPRODUCT(G30:G40,F30:F40)</f>
        <v>775.5351938</v>
      </c>
      <c r="G22" s="77">
        <v>620.0</v>
      </c>
      <c r="H22" s="78">
        <f t="shared" si="14"/>
        <v>0.1312745005</v>
      </c>
      <c r="I22" s="4"/>
      <c r="J22" s="4"/>
      <c r="K22" s="4"/>
      <c r="L22" s="4"/>
      <c r="M22" s="4"/>
      <c r="N22" s="10"/>
      <c r="O22" s="10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>
      <c r="A23" s="4"/>
      <c r="B23" s="79"/>
      <c r="C23" s="80"/>
      <c r="D23" s="4"/>
      <c r="E23" s="70" t="s">
        <v>39</v>
      </c>
      <c r="F23" s="81">
        <f t="shared" ref="F23:F24" si="15">IRR(I30:N30)</f>
        <v>0.1342330157</v>
      </c>
      <c r="G23" s="77">
        <v>660.0</v>
      </c>
      <c r="H23" s="78">
        <f t="shared" si="14"/>
        <v>0.1171415445</v>
      </c>
      <c r="I23" s="69"/>
      <c r="J23" s="4"/>
      <c r="K23" s="4"/>
      <c r="L23" s="4"/>
      <c r="M23" s="61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>
      <c r="A24" s="4"/>
      <c r="D24" s="4"/>
      <c r="E24" s="70" t="s">
        <v>40</v>
      </c>
      <c r="F24" s="81">
        <f t="shared" si="15"/>
        <v>0.1046452352</v>
      </c>
      <c r="G24" s="82">
        <v>700.0</v>
      </c>
      <c r="H24" s="83">
        <f t="shared" si="14"/>
        <v>0.1040042196</v>
      </c>
      <c r="I24" s="4"/>
      <c r="J24" s="4"/>
      <c r="K24" s="4"/>
      <c r="L24" s="4"/>
      <c r="M24" s="61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4"/>
      <c r="B25" s="4"/>
      <c r="D25" s="4"/>
      <c r="E25" s="84" t="s">
        <v>41</v>
      </c>
      <c r="F25" s="85">
        <f>F22*(1-F21)</f>
        <v>697.9816744</v>
      </c>
      <c r="G25" s="82">
        <v>730.0</v>
      </c>
      <c r="H25" s="83">
        <f t="shared" si="14"/>
        <v>0.09473075301</v>
      </c>
      <c r="I25" s="61"/>
      <c r="J25" s="4"/>
      <c r="K25" s="4"/>
      <c r="L25" s="4"/>
      <c r="M25" s="6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4"/>
      <c r="B26" s="4"/>
      <c r="C26" s="4"/>
      <c r="D26" s="4"/>
      <c r="E26" s="4"/>
      <c r="F26" s="4"/>
      <c r="G26" s="86">
        <v>760.0</v>
      </c>
      <c r="H26" s="87">
        <f t="shared" si="14"/>
        <v>0.08590513065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61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A28" s="4"/>
      <c r="B28" s="4"/>
      <c r="C28" s="4"/>
      <c r="D28" s="4"/>
      <c r="E28" s="88" t="s">
        <v>42</v>
      </c>
      <c r="F28" s="44"/>
      <c r="G28" s="44"/>
      <c r="H28" s="4"/>
      <c r="I28" s="89" t="s">
        <v>43</v>
      </c>
      <c r="J28" s="44"/>
      <c r="K28" s="44"/>
      <c r="L28" s="44"/>
      <c r="M28" s="44"/>
      <c r="N28" s="44"/>
      <c r="O28" s="4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>
      <c r="A29" s="4"/>
      <c r="B29" s="4"/>
      <c r="C29" s="4"/>
      <c r="D29" s="4"/>
      <c r="E29" s="90" t="s">
        <v>44</v>
      </c>
      <c r="F29" s="90" t="s">
        <v>45</v>
      </c>
      <c r="G29" s="90" t="s">
        <v>46</v>
      </c>
      <c r="H29" s="4"/>
      <c r="I29" s="90" t="s">
        <v>47</v>
      </c>
      <c r="J29" s="91">
        <v>2026.0</v>
      </c>
      <c r="K29" s="91">
        <v>2027.0</v>
      </c>
      <c r="L29" s="91">
        <v>2028.0</v>
      </c>
      <c r="M29" s="91">
        <v>2029.0</v>
      </c>
      <c r="N29" s="90">
        <v>2030.0</v>
      </c>
      <c r="O29" s="90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4"/>
      <c r="B30" s="4"/>
      <c r="C30" s="4"/>
      <c r="D30" s="4"/>
      <c r="E30" s="92">
        <v>12.0</v>
      </c>
      <c r="F30" s="93">
        <v>0.025</v>
      </c>
      <c r="G30" s="94">
        <f t="shared" ref="G30:G40" si="17">($M$17*E30)/((1+$F$20)^$M$7)</f>
        <v>373.3770241</v>
      </c>
      <c r="H30" s="4"/>
      <c r="I30" s="95">
        <f>-C15</f>
        <v>-612</v>
      </c>
      <c r="J30" s="96">
        <f t="shared" ref="J30:M30" si="16">I18</f>
        <v>1.846418933</v>
      </c>
      <c r="K30" s="96">
        <f t="shared" si="16"/>
        <v>2.155717536</v>
      </c>
      <c r="L30" s="96">
        <f t="shared" si="16"/>
        <v>2.51682758</v>
      </c>
      <c r="M30" s="96">
        <f t="shared" si="16"/>
        <v>3.130911982</v>
      </c>
      <c r="N30" s="96">
        <f>-M18+(C22*M17)</f>
        <v>1135.858213</v>
      </c>
      <c r="O30" s="9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>
      <c r="A31" s="4"/>
      <c r="B31" s="4"/>
      <c r="C31" s="4"/>
      <c r="D31" s="4"/>
      <c r="E31" s="92">
        <v>14.0</v>
      </c>
      <c r="F31" s="97">
        <v>0.075</v>
      </c>
      <c r="G31" s="94">
        <f t="shared" si="17"/>
        <v>435.6065281</v>
      </c>
      <c r="H31" s="4"/>
      <c r="I31" s="95">
        <f>-F25</f>
        <v>-697.9816744</v>
      </c>
      <c r="J31" s="96">
        <f t="shared" ref="J31:N31" si="18">J30</f>
        <v>1.846418933</v>
      </c>
      <c r="K31" s="96">
        <f t="shared" si="18"/>
        <v>2.155717536</v>
      </c>
      <c r="L31" s="96">
        <f t="shared" si="18"/>
        <v>2.51682758</v>
      </c>
      <c r="M31" s="96">
        <f t="shared" si="18"/>
        <v>3.130911982</v>
      </c>
      <c r="N31" s="96">
        <f t="shared" si="18"/>
        <v>1135.858213</v>
      </c>
      <c r="O31" s="96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4"/>
      <c r="B32" s="4"/>
      <c r="C32" s="4"/>
      <c r="D32" s="4"/>
      <c r="E32" s="92">
        <v>18.0</v>
      </c>
      <c r="F32" s="93">
        <v>0.05</v>
      </c>
      <c r="G32" s="94">
        <f t="shared" si="17"/>
        <v>560.0655362</v>
      </c>
      <c r="H32" s="4"/>
      <c r="I32" s="95">
        <f t="shared" ref="I32:I38" si="20">-G20</f>
        <v>-550</v>
      </c>
      <c r="J32" s="96">
        <f t="shared" ref="J32:N32" si="19">J31</f>
        <v>1.846418933</v>
      </c>
      <c r="K32" s="96">
        <f t="shared" si="19"/>
        <v>2.155717536</v>
      </c>
      <c r="L32" s="96">
        <f t="shared" si="19"/>
        <v>2.51682758</v>
      </c>
      <c r="M32" s="96">
        <f t="shared" si="19"/>
        <v>3.130911982</v>
      </c>
      <c r="N32" s="96">
        <f t="shared" si="19"/>
        <v>1135.858213</v>
      </c>
      <c r="O32" s="96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4"/>
      <c r="B33" s="4"/>
      <c r="C33" s="4"/>
      <c r="D33" s="4"/>
      <c r="E33" s="92">
        <v>20.0</v>
      </c>
      <c r="F33" s="97">
        <v>0.1</v>
      </c>
      <c r="G33" s="94">
        <f t="shared" si="17"/>
        <v>622.2950402</v>
      </c>
      <c r="H33" s="4"/>
      <c r="I33" s="95">
        <f t="shared" si="20"/>
        <v>-580</v>
      </c>
      <c r="J33" s="96">
        <f t="shared" ref="J33:N33" si="21">J32</f>
        <v>1.846418933</v>
      </c>
      <c r="K33" s="96">
        <f t="shared" si="21"/>
        <v>2.155717536</v>
      </c>
      <c r="L33" s="96">
        <f t="shared" si="21"/>
        <v>2.51682758</v>
      </c>
      <c r="M33" s="96">
        <f t="shared" si="21"/>
        <v>3.130911982</v>
      </c>
      <c r="N33" s="96">
        <f t="shared" si="21"/>
        <v>1135.858213</v>
      </c>
      <c r="O33" s="96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4"/>
      <c r="B34" s="4"/>
      <c r="C34" s="4"/>
      <c r="D34" s="4"/>
      <c r="E34" s="92">
        <v>22.0</v>
      </c>
      <c r="F34" s="93">
        <v>0.1</v>
      </c>
      <c r="G34" s="94">
        <f t="shared" si="17"/>
        <v>684.5245442</v>
      </c>
      <c r="H34" s="4"/>
      <c r="I34" s="95">
        <f t="shared" si="20"/>
        <v>-620</v>
      </c>
      <c r="J34" s="96">
        <f t="shared" ref="J34:N34" si="22">J33</f>
        <v>1.846418933</v>
      </c>
      <c r="K34" s="96">
        <f t="shared" si="22"/>
        <v>2.155717536</v>
      </c>
      <c r="L34" s="96">
        <f t="shared" si="22"/>
        <v>2.51682758</v>
      </c>
      <c r="M34" s="96">
        <f t="shared" si="22"/>
        <v>3.130911982</v>
      </c>
      <c r="N34" s="96">
        <f t="shared" si="22"/>
        <v>1135.858213</v>
      </c>
      <c r="O34" s="96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4"/>
      <c r="B35" s="4"/>
      <c r="C35" s="4"/>
      <c r="D35" s="4"/>
      <c r="E35" s="92">
        <v>25.0</v>
      </c>
      <c r="F35" s="97">
        <v>0.25</v>
      </c>
      <c r="G35" s="94">
        <f t="shared" si="17"/>
        <v>777.8688002</v>
      </c>
      <c r="H35" s="4"/>
      <c r="I35" s="95">
        <f t="shared" si="20"/>
        <v>-660</v>
      </c>
      <c r="J35" s="96">
        <f t="shared" ref="J35:N35" si="23">J34</f>
        <v>1.846418933</v>
      </c>
      <c r="K35" s="96">
        <f t="shared" si="23"/>
        <v>2.155717536</v>
      </c>
      <c r="L35" s="96">
        <f t="shared" si="23"/>
        <v>2.51682758</v>
      </c>
      <c r="M35" s="96">
        <f t="shared" si="23"/>
        <v>3.130911982</v>
      </c>
      <c r="N35" s="96">
        <f t="shared" si="23"/>
        <v>1135.858213</v>
      </c>
      <c r="O35" s="96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4"/>
      <c r="B36" s="4"/>
      <c r="C36" s="4"/>
      <c r="D36" s="4"/>
      <c r="E36" s="92">
        <v>27.0</v>
      </c>
      <c r="F36" s="97">
        <v>0.1</v>
      </c>
      <c r="G36" s="94">
        <f t="shared" si="17"/>
        <v>840.0983042</v>
      </c>
      <c r="H36" s="4"/>
      <c r="I36" s="95">
        <f t="shared" si="20"/>
        <v>-700</v>
      </c>
      <c r="J36" s="96">
        <f t="shared" ref="J36:N36" si="24">J35</f>
        <v>1.846418933</v>
      </c>
      <c r="K36" s="96">
        <f t="shared" si="24"/>
        <v>2.155717536</v>
      </c>
      <c r="L36" s="96">
        <f t="shared" si="24"/>
        <v>2.51682758</v>
      </c>
      <c r="M36" s="96">
        <f t="shared" si="24"/>
        <v>3.130911982</v>
      </c>
      <c r="N36" s="96">
        <f t="shared" si="24"/>
        <v>1135.858213</v>
      </c>
      <c r="O36" s="96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>
      <c r="A37" s="4"/>
      <c r="B37" s="4"/>
      <c r="C37" s="4"/>
      <c r="D37" s="4"/>
      <c r="E37" s="98">
        <v>30.0</v>
      </c>
      <c r="F37" s="99">
        <v>0.15</v>
      </c>
      <c r="G37" s="94">
        <f t="shared" si="17"/>
        <v>933.4425603</v>
      </c>
      <c r="H37" s="4"/>
      <c r="I37" s="95">
        <f t="shared" si="20"/>
        <v>-730</v>
      </c>
      <c r="J37" s="96">
        <f t="shared" ref="J37:N37" si="25">J36</f>
        <v>1.846418933</v>
      </c>
      <c r="K37" s="96">
        <f t="shared" si="25"/>
        <v>2.155717536</v>
      </c>
      <c r="L37" s="96">
        <f t="shared" si="25"/>
        <v>2.51682758</v>
      </c>
      <c r="M37" s="96">
        <f t="shared" si="25"/>
        <v>3.130911982</v>
      </c>
      <c r="N37" s="96">
        <f t="shared" si="25"/>
        <v>1135.858213</v>
      </c>
      <c r="O37" s="96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4"/>
      <c r="B38" s="4"/>
      <c r="C38" s="4"/>
      <c r="D38" s="4"/>
      <c r="E38" s="98">
        <v>32.0</v>
      </c>
      <c r="F38" s="97">
        <v>0.05</v>
      </c>
      <c r="G38" s="94">
        <f t="shared" si="17"/>
        <v>995.6720643</v>
      </c>
      <c r="H38" s="4"/>
      <c r="I38" s="95">
        <f t="shared" si="20"/>
        <v>-760</v>
      </c>
      <c r="J38" s="96">
        <f t="shared" ref="J38:N38" si="26">J37</f>
        <v>1.846418933</v>
      </c>
      <c r="K38" s="96">
        <f t="shared" si="26"/>
        <v>2.155717536</v>
      </c>
      <c r="L38" s="96">
        <f t="shared" si="26"/>
        <v>2.51682758</v>
      </c>
      <c r="M38" s="96">
        <f t="shared" si="26"/>
        <v>3.130911982</v>
      </c>
      <c r="N38" s="96">
        <f t="shared" si="26"/>
        <v>1135.858213</v>
      </c>
      <c r="O38" s="96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>
      <c r="A39" s="4"/>
      <c r="B39" s="4"/>
      <c r="C39" s="4"/>
      <c r="D39" s="4"/>
      <c r="E39" s="98">
        <v>34.0</v>
      </c>
      <c r="F39" s="93">
        <v>0.075</v>
      </c>
      <c r="G39" s="94">
        <f t="shared" si="17"/>
        <v>1057.901568</v>
      </c>
      <c r="H39" s="100" t="s">
        <v>48</v>
      </c>
      <c r="K39" s="101"/>
      <c r="L39" s="101"/>
      <c r="M39" s="101"/>
      <c r="N39" s="101"/>
      <c r="O39" s="101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A40" s="4"/>
      <c r="B40" s="4"/>
      <c r="C40" s="4"/>
      <c r="D40" s="4"/>
      <c r="E40" s="98">
        <v>35.0</v>
      </c>
      <c r="F40" s="93">
        <v>0.025</v>
      </c>
      <c r="G40" s="94">
        <f t="shared" si="17"/>
        <v>1089.01632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>
      <c r="A41" s="4"/>
      <c r="B41" s="4"/>
      <c r="C41" s="4"/>
      <c r="D41" s="4"/>
      <c r="E41" s="102" t="s">
        <v>49</v>
      </c>
      <c r="F41" s="103">
        <f>SUM(F30:F40)</f>
        <v>1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4"/>
      <c r="B42" s="4"/>
      <c r="C42" s="4"/>
      <c r="D42" s="4"/>
      <c r="E42" s="104" t="s">
        <v>50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  <row r="1008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</row>
    <row r="1009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</row>
    <row r="1010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</row>
    <row r="101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</row>
    <row r="10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</row>
    <row r="1013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</row>
    <row r="1014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</row>
    <row r="10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</row>
    <row r="1016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</row>
    <row r="1017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</row>
    <row r="1018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</row>
    <row r="1019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</row>
    <row r="1020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</row>
    <row r="102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</row>
    <row r="102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</row>
  </sheetData>
  <mergeCells count="12">
    <mergeCell ref="C23:C25"/>
    <mergeCell ref="E28:G28"/>
    <mergeCell ref="I28:O28"/>
    <mergeCell ref="H39:J39"/>
    <mergeCell ref="E42:F42"/>
    <mergeCell ref="B1:F1"/>
    <mergeCell ref="A3:C3"/>
    <mergeCell ref="G6:L6"/>
    <mergeCell ref="B14:C14"/>
    <mergeCell ref="B18:C18"/>
    <mergeCell ref="G19:H19"/>
    <mergeCell ref="B23:B24"/>
  </mergeCells>
  <hyperlinks>
    <hyperlink r:id="rId1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50.88"/>
    <col customWidth="1" min="4" max="4" width="10.25"/>
    <col customWidth="1" min="5" max="5" width="47.13"/>
    <col customWidth="1" min="7" max="7" width="16.75"/>
  </cols>
  <sheetData>
    <row r="1">
      <c r="A1" s="1" t="s">
        <v>1</v>
      </c>
      <c r="D1" s="4"/>
      <c r="E1" s="6"/>
      <c r="F1" s="5" t="s">
        <v>2</v>
      </c>
      <c r="G1" s="3" t="s">
        <v>3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>
      <c r="A2" s="4"/>
      <c r="B2" s="4"/>
      <c r="C2" s="4"/>
      <c r="D2" s="4"/>
      <c r="E2" s="7"/>
      <c r="F2" s="8" t="s">
        <v>4</v>
      </c>
      <c r="G2" s="3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4"/>
      <c r="B3" s="4"/>
      <c r="C3" s="4"/>
      <c r="D3" s="4"/>
      <c r="E3" s="9"/>
      <c r="F3" s="8" t="s">
        <v>4</v>
      </c>
      <c r="G3" s="3" t="s">
        <v>6</v>
      </c>
      <c r="H3" s="10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4"/>
      <c r="B4" s="4"/>
      <c r="C4" s="4"/>
      <c r="D4" s="4"/>
      <c r="E4" s="4"/>
      <c r="F4" s="4"/>
      <c r="G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11"/>
      <c r="B5" s="11" t="s">
        <v>7</v>
      </c>
      <c r="C5" s="12" t="s">
        <v>8</v>
      </c>
      <c r="D5" s="12" t="s">
        <v>9</v>
      </c>
      <c r="E5" s="4"/>
      <c r="F5" s="5">
        <v>-2.0</v>
      </c>
      <c r="G5" s="5">
        <v>-1.0</v>
      </c>
      <c r="H5" s="13">
        <v>0.0</v>
      </c>
      <c r="I5" s="5">
        <v>1.0</v>
      </c>
      <c r="J5" s="5">
        <v>2.0</v>
      </c>
      <c r="K5" s="5">
        <v>3.0</v>
      </c>
      <c r="L5" s="5">
        <v>4.0</v>
      </c>
      <c r="M5" s="5">
        <v>5.0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4"/>
      <c r="B6" s="14" t="s">
        <v>10</v>
      </c>
      <c r="C6" s="16">
        <v>0.2</v>
      </c>
      <c r="D6" s="16">
        <v>0.12</v>
      </c>
      <c r="E6" s="17"/>
      <c r="F6" s="18" t="s">
        <v>11</v>
      </c>
      <c r="G6" s="19" t="s">
        <v>12</v>
      </c>
      <c r="H6" s="20">
        <v>45992.0</v>
      </c>
      <c r="I6" s="21">
        <v>46357.0</v>
      </c>
      <c r="J6" s="21">
        <v>46722.0</v>
      </c>
      <c r="K6" s="21">
        <v>47088.0</v>
      </c>
      <c r="L6" s="21">
        <v>47453.0</v>
      </c>
      <c r="M6" s="22">
        <v>47818.0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4"/>
      <c r="B7" s="14" t="s">
        <v>13</v>
      </c>
      <c r="C7" s="16">
        <v>0.2</v>
      </c>
      <c r="D7" s="16">
        <v>0.3</v>
      </c>
      <c r="E7" s="23" t="s">
        <v>14</v>
      </c>
      <c r="F7" s="24">
        <v>133948.0</v>
      </c>
      <c r="G7" s="24">
        <v>162355.0</v>
      </c>
      <c r="H7" s="24">
        <v>187122.0</v>
      </c>
      <c r="I7" s="25">
        <f t="shared" ref="I7:M7" si="1">H7*(1+$C$6)</f>
        <v>224546.4</v>
      </c>
      <c r="J7" s="25">
        <f t="shared" si="1"/>
        <v>269455.68</v>
      </c>
      <c r="K7" s="25">
        <f t="shared" si="1"/>
        <v>323346.816</v>
      </c>
      <c r="L7" s="25">
        <f t="shared" si="1"/>
        <v>388016.1792</v>
      </c>
      <c r="M7" s="26">
        <f t="shared" si="1"/>
        <v>465619.415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4"/>
      <c r="B8" s="3" t="s">
        <v>15</v>
      </c>
      <c r="C8" s="16">
        <v>0.385</v>
      </c>
      <c r="D8" s="16">
        <v>0.45</v>
      </c>
      <c r="E8" s="23" t="s">
        <v>16</v>
      </c>
      <c r="F8" s="27">
        <v>1896.0</v>
      </c>
      <c r="G8" s="27">
        <v>2146.0</v>
      </c>
      <c r="H8" s="24">
        <v>2335.0</v>
      </c>
      <c r="I8" s="28">
        <f t="shared" ref="I8:K8" si="2">H8*(1+$C$7)</f>
        <v>2802</v>
      </c>
      <c r="J8" s="28">
        <f t="shared" si="2"/>
        <v>3362.4</v>
      </c>
      <c r="K8" s="28">
        <f t="shared" si="2"/>
        <v>4034.88</v>
      </c>
      <c r="L8" s="28">
        <f t="shared" ref="L8:M8" si="3">K8*(1+$D$7)</f>
        <v>5245.344</v>
      </c>
      <c r="M8" s="29">
        <f t="shared" si="3"/>
        <v>6818.9472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4"/>
      <c r="B9" s="4"/>
      <c r="C9" s="4"/>
      <c r="D9" s="4"/>
      <c r="E9" s="30" t="s">
        <v>17</v>
      </c>
      <c r="F9" s="31">
        <f t="shared" ref="F9:M9" si="4">SUM(F7:F8)</f>
        <v>135844</v>
      </c>
      <c r="G9" s="31">
        <f t="shared" si="4"/>
        <v>164501</v>
      </c>
      <c r="H9" s="32">
        <f t="shared" si="4"/>
        <v>189457</v>
      </c>
      <c r="I9" s="33">
        <f t="shared" si="4"/>
        <v>227348.4</v>
      </c>
      <c r="J9" s="33">
        <f t="shared" si="4"/>
        <v>272818.08</v>
      </c>
      <c r="K9" s="33">
        <f t="shared" si="4"/>
        <v>327381.696</v>
      </c>
      <c r="L9" s="33">
        <f t="shared" si="4"/>
        <v>393261.5232</v>
      </c>
      <c r="M9" s="34">
        <f t="shared" si="4"/>
        <v>472438.3622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4"/>
      <c r="B10" s="14" t="s">
        <v>18</v>
      </c>
      <c r="C10" s="35">
        <f>70%</f>
        <v>0.7</v>
      </c>
      <c r="D10" s="36">
        <v>0.85</v>
      </c>
      <c r="E10" s="37" t="s">
        <v>19</v>
      </c>
      <c r="F10" s="38">
        <f t="shared" ref="F10:G10" si="5">F11/F9</f>
        <v>0.3441521157</v>
      </c>
      <c r="G10" s="38">
        <f t="shared" si="5"/>
        <v>0.421760354</v>
      </c>
      <c r="H10" s="38">
        <f t="shared" ref="H10:K10" si="6">$C$8</f>
        <v>0.385</v>
      </c>
      <c r="I10" s="39">
        <f t="shared" si="6"/>
        <v>0.385</v>
      </c>
      <c r="J10" s="39">
        <f t="shared" si="6"/>
        <v>0.385</v>
      </c>
      <c r="K10" s="39">
        <f t="shared" si="6"/>
        <v>0.385</v>
      </c>
      <c r="L10" s="39">
        <f t="shared" ref="L10:M10" si="7">$D$8</f>
        <v>0.45</v>
      </c>
      <c r="M10" s="39">
        <f t="shared" si="7"/>
        <v>0.45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4"/>
      <c r="B11" s="3" t="s">
        <v>20</v>
      </c>
      <c r="C11" s="41">
        <v>0.08</v>
      </c>
      <c r="D11" s="4"/>
      <c r="E11" s="30" t="s">
        <v>21</v>
      </c>
      <c r="F11" s="32">
        <v>46751.0</v>
      </c>
      <c r="G11" s="32">
        <v>69380.0</v>
      </c>
      <c r="H11" s="32">
        <v>81896.0</v>
      </c>
      <c r="I11" s="42">
        <f t="shared" ref="I11:M11" si="8">I9*I10</f>
        <v>87529.134</v>
      </c>
      <c r="J11" s="42">
        <f t="shared" si="8"/>
        <v>105034.9608</v>
      </c>
      <c r="K11" s="42">
        <f t="shared" si="8"/>
        <v>126041.953</v>
      </c>
      <c r="L11" s="42">
        <f t="shared" si="8"/>
        <v>176967.6854</v>
      </c>
      <c r="M11" s="42">
        <f t="shared" si="8"/>
        <v>212597.263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4"/>
      <c r="B12" s="11" t="s">
        <v>22</v>
      </c>
      <c r="C12" s="44"/>
      <c r="D12" s="4"/>
      <c r="E12" s="45" t="s">
        <v>23</v>
      </c>
      <c r="F12" s="46">
        <f t="shared" ref="F12:M12" si="9">F13/F9</f>
        <v>0.3244015194</v>
      </c>
      <c r="G12" s="46">
        <f t="shared" si="9"/>
        <v>0.328703169</v>
      </c>
      <c r="H12" s="47">
        <f t="shared" si="9"/>
        <v>0.2366816745</v>
      </c>
      <c r="I12" s="48">
        <f t="shared" si="9"/>
        <v>0.2695</v>
      </c>
      <c r="J12" s="48">
        <f t="shared" si="9"/>
        <v>0.2695</v>
      </c>
      <c r="K12" s="48">
        <f t="shared" si="9"/>
        <v>0.2695</v>
      </c>
      <c r="L12" s="48">
        <f t="shared" si="9"/>
        <v>0.315</v>
      </c>
      <c r="M12" s="49">
        <f t="shared" si="9"/>
        <v>0.315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4"/>
      <c r="B13" s="3" t="s">
        <v>24</v>
      </c>
      <c r="C13" s="50">
        <v>645.0</v>
      </c>
      <c r="D13" s="4"/>
      <c r="E13" s="51" t="s">
        <v>25</v>
      </c>
      <c r="F13" s="24">
        <v>44068.0</v>
      </c>
      <c r="G13" s="24">
        <v>54072.0</v>
      </c>
      <c r="H13" s="52">
        <v>44841.0</v>
      </c>
      <c r="I13" s="53">
        <f t="shared" ref="I13:M13" si="10">I11*$C$10</f>
        <v>61270.3938</v>
      </c>
      <c r="J13" s="53">
        <f t="shared" si="10"/>
        <v>73524.47256</v>
      </c>
      <c r="K13" s="53">
        <f t="shared" si="10"/>
        <v>88229.36707</v>
      </c>
      <c r="L13" s="53">
        <f t="shared" si="10"/>
        <v>123877.3798</v>
      </c>
      <c r="M13" s="54">
        <f t="shared" si="10"/>
        <v>148818.0841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A14" s="4"/>
      <c r="B14" s="3" t="s">
        <v>26</v>
      </c>
      <c r="C14" s="55">
        <v>-0.015</v>
      </c>
      <c r="D14" s="4"/>
      <c r="E14" s="56" t="s">
        <v>27</v>
      </c>
      <c r="F14" s="57">
        <v>2629.0</v>
      </c>
      <c r="G14" s="57">
        <v>2614.0</v>
      </c>
      <c r="H14" s="58">
        <v>2582.8</v>
      </c>
      <c r="I14" s="59">
        <f t="shared" ref="I14:M14" si="11">H14*(1+$C$14)</f>
        <v>2544.058</v>
      </c>
      <c r="J14" s="59">
        <f t="shared" si="11"/>
        <v>2505.89713</v>
      </c>
      <c r="K14" s="59">
        <f t="shared" si="11"/>
        <v>2468.308673</v>
      </c>
      <c r="L14" s="59">
        <f t="shared" si="11"/>
        <v>2431.284043</v>
      </c>
      <c r="M14" s="60">
        <f t="shared" si="11"/>
        <v>2394.814782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4"/>
      <c r="B15" s="4"/>
      <c r="C15" s="4"/>
      <c r="D15" s="61"/>
      <c r="E15" s="51" t="s">
        <v>28</v>
      </c>
      <c r="F15" s="24">
        <v>16.8</v>
      </c>
      <c r="G15" s="24">
        <v>20.7</v>
      </c>
      <c r="H15" s="62">
        <f t="shared" ref="H15:M15" si="12">H13/H14</f>
        <v>17.36139074</v>
      </c>
      <c r="I15" s="53">
        <f t="shared" si="12"/>
        <v>24.08372521</v>
      </c>
      <c r="J15" s="53">
        <f t="shared" si="12"/>
        <v>29.34057894</v>
      </c>
      <c r="K15" s="53">
        <f t="shared" si="12"/>
        <v>35.74486774</v>
      </c>
      <c r="L15" s="53">
        <f t="shared" si="12"/>
        <v>50.95142222</v>
      </c>
      <c r="M15" s="54">
        <f t="shared" si="12"/>
        <v>62.14179285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4"/>
      <c r="B16" s="11" t="s">
        <v>29</v>
      </c>
      <c r="C16" s="44"/>
      <c r="D16" s="61"/>
      <c r="E16" s="30" t="s">
        <v>30</v>
      </c>
      <c r="F16" s="32">
        <v>0.0</v>
      </c>
      <c r="G16" s="32">
        <v>2.0</v>
      </c>
      <c r="H16" s="63">
        <v>2.1</v>
      </c>
      <c r="I16" s="64">
        <f t="shared" ref="I16:M16" si="13">(I13*$C$11)/I14</f>
        <v>1.926698017</v>
      </c>
      <c r="J16" s="64">
        <f t="shared" si="13"/>
        <v>2.347246315</v>
      </c>
      <c r="K16" s="64">
        <f t="shared" si="13"/>
        <v>2.85958942</v>
      </c>
      <c r="L16" s="64">
        <f t="shared" si="13"/>
        <v>4.076113778</v>
      </c>
      <c r="M16" s="65">
        <f t="shared" si="13"/>
        <v>4.971343428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4"/>
      <c r="B17" s="3" t="s">
        <v>31</v>
      </c>
      <c r="C17" s="66">
        <f>(M9/H9)^(1/5)-1</f>
        <v>0.2005130901</v>
      </c>
      <c r="D17" s="4"/>
      <c r="E17" s="67"/>
      <c r="F17" s="4"/>
      <c r="G17" s="30" t="s">
        <v>32</v>
      </c>
      <c r="H17" s="68"/>
      <c r="I17" s="69"/>
      <c r="J17" s="10"/>
      <c r="K17" s="10"/>
      <c r="L17" s="10"/>
      <c r="M17" s="61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A18" s="4"/>
      <c r="B18" s="14" t="s">
        <v>33</v>
      </c>
      <c r="C18" s="66">
        <f>(M11/H11)^(1/5)-1</f>
        <v>0.2102051473</v>
      </c>
      <c r="D18" s="4"/>
      <c r="E18" s="70" t="s">
        <v>34</v>
      </c>
      <c r="F18" s="71">
        <v>0.08</v>
      </c>
      <c r="G18" s="72">
        <v>550.0</v>
      </c>
      <c r="H18" s="73">
        <f t="shared" ref="H18:H24" si="14">IRR(I30:O30)</f>
        <v>0.2321674412</v>
      </c>
      <c r="I18" s="6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4"/>
      <c r="B19" s="14" t="s">
        <v>35</v>
      </c>
      <c r="C19" s="66">
        <f>(M15/H15)^(1/5)-1</f>
        <v>0.2905054812</v>
      </c>
      <c r="D19" s="4"/>
      <c r="E19" s="70" t="s">
        <v>36</v>
      </c>
      <c r="F19" s="74">
        <v>0.1</v>
      </c>
      <c r="G19" s="72">
        <v>580.0</v>
      </c>
      <c r="H19" s="73">
        <f t="shared" si="14"/>
        <v>0.2190753916</v>
      </c>
      <c r="I19" s="4"/>
      <c r="J19" s="4"/>
      <c r="K19" s="4"/>
      <c r="L19" s="4"/>
      <c r="M19" s="10"/>
      <c r="N19" s="69"/>
      <c r="O19" s="69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4"/>
      <c r="B20" s="3" t="s">
        <v>37</v>
      </c>
      <c r="C20" s="75">
        <f>(E28*F28)+(E29*F29)+(E30*F30)+(E31*F31)+(E32*F32)+(E33*F33)+(E34*F34)+(E35*F35)+(E36*F36)+(E37*F37)+(E38*F38)</f>
        <v>24.925</v>
      </c>
      <c r="D20" s="4"/>
      <c r="E20" s="70" t="s">
        <v>38</v>
      </c>
      <c r="F20" s="76">
        <f>SUMPRODUCT(G28:G38,F28:F38)</f>
        <v>1054.144552</v>
      </c>
      <c r="G20" s="77">
        <v>620.0</v>
      </c>
      <c r="H20" s="78">
        <f t="shared" si="14"/>
        <v>0.2028353758</v>
      </c>
      <c r="I20" s="4"/>
      <c r="J20" s="4"/>
      <c r="K20" s="4"/>
      <c r="L20" s="4"/>
      <c r="M20" s="4"/>
      <c r="N20" s="10"/>
      <c r="O20" s="10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4"/>
      <c r="B21" s="79" t="s">
        <v>51</v>
      </c>
      <c r="C21" s="80" t="s">
        <v>52</v>
      </c>
      <c r="D21" s="4"/>
      <c r="E21" s="70" t="s">
        <v>53</v>
      </c>
      <c r="F21" s="81">
        <f>IRR(I28:N28)</f>
        <v>0.1933131272</v>
      </c>
      <c r="G21" s="77">
        <v>660.0</v>
      </c>
      <c r="H21" s="78">
        <f t="shared" si="14"/>
        <v>0.1878106116</v>
      </c>
      <c r="I21" s="69"/>
      <c r="J21" s="4"/>
      <c r="K21" s="4"/>
      <c r="L21" s="4"/>
      <c r="M21" s="6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4"/>
      <c r="D22" s="4"/>
      <c r="E22" s="70" t="s">
        <v>54</v>
      </c>
      <c r="F22" s="81">
        <f>IRR(I29:O29)</f>
        <v>0.104284276</v>
      </c>
      <c r="G22" s="82">
        <v>700.0</v>
      </c>
      <c r="H22" s="83">
        <f t="shared" si="14"/>
        <v>0.1738442062</v>
      </c>
      <c r="I22" s="4"/>
      <c r="J22" s="4"/>
      <c r="K22" s="4"/>
      <c r="L22" s="4"/>
      <c r="M22" s="6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>
      <c r="A23" s="4"/>
      <c r="B23" s="4"/>
      <c r="D23" s="4"/>
      <c r="E23" s="84" t="s">
        <v>41</v>
      </c>
      <c r="F23" s="85">
        <f>F20*(1-F19)</f>
        <v>948.7300964</v>
      </c>
      <c r="G23" s="82">
        <v>730.0</v>
      </c>
      <c r="H23" s="83">
        <f t="shared" si="14"/>
        <v>0.1639854468</v>
      </c>
      <c r="I23" s="61"/>
      <c r="J23" s="4"/>
      <c r="K23" s="4"/>
      <c r="L23" s="4"/>
      <c r="M23" s="61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>
      <c r="A24" s="4"/>
      <c r="B24" s="4"/>
      <c r="C24" s="4"/>
      <c r="D24" s="4"/>
      <c r="E24" s="4"/>
      <c r="F24" s="4"/>
      <c r="G24" s="86">
        <v>760.0</v>
      </c>
      <c r="H24" s="87">
        <f t="shared" si="14"/>
        <v>0.1546027553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6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4"/>
      <c r="B26" s="4"/>
      <c r="C26" s="4"/>
      <c r="D26" s="4"/>
      <c r="E26" s="88" t="s">
        <v>42</v>
      </c>
      <c r="F26" s="44"/>
      <c r="G26" s="44"/>
      <c r="H26" s="4"/>
      <c r="I26" s="89" t="s">
        <v>43</v>
      </c>
      <c r="J26" s="44"/>
      <c r="K26" s="44"/>
      <c r="L26" s="44"/>
      <c r="M26" s="44"/>
      <c r="N26" s="44"/>
      <c r="O26" s="4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>
      <c r="A27" s="4"/>
      <c r="B27" s="4"/>
      <c r="C27" s="4"/>
      <c r="D27" s="4"/>
      <c r="E27" s="90" t="s">
        <v>44</v>
      </c>
      <c r="F27" s="90" t="s">
        <v>45</v>
      </c>
      <c r="G27" s="90" t="s">
        <v>46</v>
      </c>
      <c r="H27" s="4"/>
      <c r="I27" s="90" t="s">
        <v>47</v>
      </c>
      <c r="J27" s="91">
        <v>2026.0</v>
      </c>
      <c r="K27" s="91">
        <v>2027.0</v>
      </c>
      <c r="L27" s="91">
        <v>2028.0</v>
      </c>
      <c r="M27" s="91">
        <v>2029.0</v>
      </c>
      <c r="N27" s="91">
        <v>2030.0</v>
      </c>
      <c r="O27" s="90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A28" s="4"/>
      <c r="B28" s="4"/>
      <c r="C28" s="4"/>
      <c r="D28" s="4"/>
      <c r="E28" s="92">
        <v>12.0</v>
      </c>
      <c r="F28" s="93">
        <v>0.025</v>
      </c>
      <c r="G28" s="94">
        <f t="shared" ref="G28:G38" si="16">($M$15*E28)/((1+$F$18)^$M$5)</f>
        <v>507.5119205</v>
      </c>
      <c r="H28" s="4"/>
      <c r="I28" s="95">
        <f>-C13</f>
        <v>-645</v>
      </c>
      <c r="J28" s="96">
        <f t="shared" ref="J28:M28" si="15">I16</f>
        <v>1.926698017</v>
      </c>
      <c r="K28" s="96">
        <f t="shared" si="15"/>
        <v>2.347246315</v>
      </c>
      <c r="L28" s="96">
        <f t="shared" si="15"/>
        <v>2.85958942</v>
      </c>
      <c r="M28" s="96">
        <f t="shared" si="15"/>
        <v>4.076113778</v>
      </c>
      <c r="N28" s="96">
        <f>-M16+(C20*M15)</f>
        <v>1543.912843</v>
      </c>
      <c r="O28" s="96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>
      <c r="A29" s="4"/>
      <c r="B29" s="4"/>
      <c r="C29" s="4"/>
      <c r="D29" s="4"/>
      <c r="E29" s="92">
        <v>14.0</v>
      </c>
      <c r="F29" s="97">
        <v>0.075</v>
      </c>
      <c r="G29" s="94">
        <f t="shared" si="16"/>
        <v>592.0972406</v>
      </c>
      <c r="H29" s="4"/>
      <c r="I29" s="95">
        <f>-F23</f>
        <v>-948.7300964</v>
      </c>
      <c r="J29" s="96">
        <f t="shared" ref="J29:N29" si="17">J28</f>
        <v>1.926698017</v>
      </c>
      <c r="K29" s="96">
        <f t="shared" si="17"/>
        <v>2.347246315</v>
      </c>
      <c r="L29" s="96">
        <f t="shared" si="17"/>
        <v>2.85958942</v>
      </c>
      <c r="M29" s="96">
        <f t="shared" si="17"/>
        <v>4.076113778</v>
      </c>
      <c r="N29" s="96">
        <f t="shared" si="17"/>
        <v>1543.912843</v>
      </c>
      <c r="O29" s="96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4"/>
      <c r="B30" s="4"/>
      <c r="C30" s="4"/>
      <c r="D30" s="4"/>
      <c r="E30" s="92">
        <v>18.0</v>
      </c>
      <c r="F30" s="93">
        <v>0.05</v>
      </c>
      <c r="G30" s="94">
        <f t="shared" si="16"/>
        <v>761.2678808</v>
      </c>
      <c r="H30" s="4"/>
      <c r="I30" s="95">
        <f t="shared" ref="I30:I36" si="19">-G18</f>
        <v>-550</v>
      </c>
      <c r="J30" s="96">
        <f t="shared" ref="J30:N30" si="18">J29</f>
        <v>1.926698017</v>
      </c>
      <c r="K30" s="96">
        <f t="shared" si="18"/>
        <v>2.347246315</v>
      </c>
      <c r="L30" s="96">
        <f t="shared" si="18"/>
        <v>2.85958942</v>
      </c>
      <c r="M30" s="96">
        <f t="shared" si="18"/>
        <v>4.076113778</v>
      </c>
      <c r="N30" s="96">
        <f t="shared" si="18"/>
        <v>1543.912843</v>
      </c>
      <c r="O30" s="9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>
      <c r="A31" s="4"/>
      <c r="B31" s="4"/>
      <c r="C31" s="4"/>
      <c r="D31" s="4"/>
      <c r="E31" s="92">
        <v>20.0</v>
      </c>
      <c r="F31" s="97">
        <v>0.1</v>
      </c>
      <c r="G31" s="94">
        <f t="shared" si="16"/>
        <v>845.8532009</v>
      </c>
      <c r="H31" s="4"/>
      <c r="I31" s="95">
        <f t="shared" si="19"/>
        <v>-580</v>
      </c>
      <c r="J31" s="96">
        <f t="shared" ref="J31:N31" si="20">J30</f>
        <v>1.926698017</v>
      </c>
      <c r="K31" s="96">
        <f t="shared" si="20"/>
        <v>2.347246315</v>
      </c>
      <c r="L31" s="96">
        <f t="shared" si="20"/>
        <v>2.85958942</v>
      </c>
      <c r="M31" s="96">
        <f t="shared" si="20"/>
        <v>4.076113778</v>
      </c>
      <c r="N31" s="96">
        <f t="shared" si="20"/>
        <v>1543.912843</v>
      </c>
      <c r="O31" s="96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4"/>
      <c r="B32" s="4"/>
      <c r="C32" s="4"/>
      <c r="D32" s="4"/>
      <c r="E32" s="92">
        <v>22.0</v>
      </c>
      <c r="F32" s="93">
        <v>0.1</v>
      </c>
      <c r="G32" s="94">
        <f t="shared" si="16"/>
        <v>930.438521</v>
      </c>
      <c r="H32" s="4"/>
      <c r="I32" s="95">
        <f t="shared" si="19"/>
        <v>-620</v>
      </c>
      <c r="J32" s="96">
        <f t="shared" ref="J32:N32" si="21">J31</f>
        <v>1.926698017</v>
      </c>
      <c r="K32" s="96">
        <f t="shared" si="21"/>
        <v>2.347246315</v>
      </c>
      <c r="L32" s="96">
        <f t="shared" si="21"/>
        <v>2.85958942</v>
      </c>
      <c r="M32" s="96">
        <f t="shared" si="21"/>
        <v>4.076113778</v>
      </c>
      <c r="N32" s="96">
        <f t="shared" si="21"/>
        <v>1543.912843</v>
      </c>
      <c r="O32" s="96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4"/>
      <c r="B33" s="4"/>
      <c r="C33" s="4"/>
      <c r="D33" s="4"/>
      <c r="E33" s="92">
        <v>25.0</v>
      </c>
      <c r="F33" s="97">
        <v>0.25</v>
      </c>
      <c r="G33" s="94">
        <f t="shared" si="16"/>
        <v>1057.316501</v>
      </c>
      <c r="H33" s="4"/>
      <c r="I33" s="95">
        <f t="shared" si="19"/>
        <v>-660</v>
      </c>
      <c r="J33" s="96">
        <f t="shared" ref="J33:N33" si="22">J32</f>
        <v>1.926698017</v>
      </c>
      <c r="K33" s="96">
        <f t="shared" si="22"/>
        <v>2.347246315</v>
      </c>
      <c r="L33" s="96">
        <f t="shared" si="22"/>
        <v>2.85958942</v>
      </c>
      <c r="M33" s="96">
        <f t="shared" si="22"/>
        <v>4.076113778</v>
      </c>
      <c r="N33" s="96">
        <f t="shared" si="22"/>
        <v>1543.912843</v>
      </c>
      <c r="O33" s="96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4"/>
      <c r="B34" s="4"/>
      <c r="C34" s="4"/>
      <c r="D34" s="4"/>
      <c r="E34" s="92">
        <v>27.0</v>
      </c>
      <c r="F34" s="97">
        <v>0.1</v>
      </c>
      <c r="G34" s="94">
        <f t="shared" si="16"/>
        <v>1141.901821</v>
      </c>
      <c r="H34" s="4"/>
      <c r="I34" s="95">
        <f t="shared" si="19"/>
        <v>-700</v>
      </c>
      <c r="J34" s="96">
        <f t="shared" ref="J34:N34" si="23">J33</f>
        <v>1.926698017</v>
      </c>
      <c r="K34" s="96">
        <f t="shared" si="23"/>
        <v>2.347246315</v>
      </c>
      <c r="L34" s="96">
        <f t="shared" si="23"/>
        <v>2.85958942</v>
      </c>
      <c r="M34" s="96">
        <f t="shared" si="23"/>
        <v>4.076113778</v>
      </c>
      <c r="N34" s="96">
        <f t="shared" si="23"/>
        <v>1543.912843</v>
      </c>
      <c r="O34" s="96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4"/>
      <c r="B35" s="4"/>
      <c r="C35" s="4"/>
      <c r="D35" s="4"/>
      <c r="E35" s="98">
        <v>30.0</v>
      </c>
      <c r="F35" s="99">
        <v>0.15</v>
      </c>
      <c r="G35" s="94">
        <f t="shared" si="16"/>
        <v>1268.779801</v>
      </c>
      <c r="H35" s="4"/>
      <c r="I35" s="95">
        <f t="shared" si="19"/>
        <v>-730</v>
      </c>
      <c r="J35" s="96">
        <f t="shared" ref="J35:N35" si="24">J34</f>
        <v>1.926698017</v>
      </c>
      <c r="K35" s="96">
        <f t="shared" si="24"/>
        <v>2.347246315</v>
      </c>
      <c r="L35" s="96">
        <f t="shared" si="24"/>
        <v>2.85958942</v>
      </c>
      <c r="M35" s="96">
        <f t="shared" si="24"/>
        <v>4.076113778</v>
      </c>
      <c r="N35" s="96">
        <f t="shared" si="24"/>
        <v>1543.912843</v>
      </c>
      <c r="O35" s="96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4"/>
      <c r="B36" s="4"/>
      <c r="C36" s="4"/>
      <c r="D36" s="4"/>
      <c r="E36" s="98">
        <v>32.0</v>
      </c>
      <c r="F36" s="97">
        <v>0.05</v>
      </c>
      <c r="G36" s="94">
        <f t="shared" si="16"/>
        <v>1353.365121</v>
      </c>
      <c r="H36" s="4"/>
      <c r="I36" s="95">
        <f t="shared" si="19"/>
        <v>-760</v>
      </c>
      <c r="J36" s="96">
        <f t="shared" ref="J36:N36" si="25">J35</f>
        <v>1.926698017</v>
      </c>
      <c r="K36" s="96">
        <f t="shared" si="25"/>
        <v>2.347246315</v>
      </c>
      <c r="L36" s="96">
        <f t="shared" si="25"/>
        <v>2.85958942</v>
      </c>
      <c r="M36" s="96">
        <f t="shared" si="25"/>
        <v>4.076113778</v>
      </c>
      <c r="N36" s="96">
        <f t="shared" si="25"/>
        <v>1543.912843</v>
      </c>
      <c r="O36" s="96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>
      <c r="A37" s="4"/>
      <c r="B37" s="4"/>
      <c r="C37" s="4"/>
      <c r="D37" s="4"/>
      <c r="E37" s="98">
        <v>34.0</v>
      </c>
      <c r="F37" s="93">
        <v>0.075</v>
      </c>
      <c r="G37" s="94">
        <f t="shared" si="16"/>
        <v>1437.950442</v>
      </c>
      <c r="H37" s="100" t="s">
        <v>48</v>
      </c>
      <c r="K37" s="101"/>
      <c r="L37" s="101"/>
      <c r="M37" s="101"/>
      <c r="N37" s="101"/>
      <c r="O37" s="101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4"/>
      <c r="B38" s="4"/>
      <c r="C38" s="4"/>
      <c r="D38" s="4"/>
      <c r="E38" s="98">
        <v>35.0</v>
      </c>
      <c r="F38" s="93">
        <v>0.025</v>
      </c>
      <c r="G38" s="94">
        <f t="shared" si="16"/>
        <v>1480.243102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>
      <c r="A39" s="4"/>
      <c r="B39" s="4"/>
      <c r="C39" s="4"/>
      <c r="D39" s="4"/>
      <c r="E39" s="102" t="s">
        <v>49</v>
      </c>
      <c r="F39" s="103">
        <f>SUM(F28:F38)</f>
        <v>1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A40" s="4"/>
      <c r="B40" s="4"/>
      <c r="C40" s="4"/>
      <c r="D40" s="4"/>
      <c r="E40" s="104" t="s">
        <v>50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  <row r="1008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</row>
    <row r="1009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</row>
    <row r="1010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</row>
    <row r="101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</row>
    <row r="10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</row>
    <row r="1013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</row>
    <row r="1014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</row>
    <row r="10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</row>
    <row r="1016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</row>
    <row r="1017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</row>
    <row r="1018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</row>
    <row r="1019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</row>
    <row r="1020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</row>
  </sheetData>
  <mergeCells count="11">
    <mergeCell ref="E26:G26"/>
    <mergeCell ref="I26:O26"/>
    <mergeCell ref="H37:J37"/>
    <mergeCell ref="E40:F40"/>
    <mergeCell ref="A1:C1"/>
    <mergeCell ref="G4:L4"/>
    <mergeCell ref="B12:C12"/>
    <mergeCell ref="B16:C16"/>
    <mergeCell ref="G17:H17"/>
    <mergeCell ref="B21:B22"/>
    <mergeCell ref="C21:C23"/>
  </mergeCells>
  <drawing r:id="rId1"/>
</worksheet>
</file>