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pwc-my.sharepoint.com/personal/ryne_z_maxwell_pwc_com/Documents/Holdings &amp; Analyses/IVC/Company Writeups/Adobe/"/>
    </mc:Choice>
  </mc:AlternateContent>
  <xr:revisionPtr revIDLastSave="4889" documentId="11_F25DC773A252ABDACC104804491E74745ADE58EF" xr6:coauthVersionLast="47" xr6:coauthVersionMax="47" xr10:uidLastSave="{70C528DA-D0FA-4AA7-AED1-9FD550F2F208}"/>
  <bookViews>
    <workbookView xWindow="-108" yWindow="-108" windowWidth="23256" windowHeight="13896" firstSheet="1" activeTab="1" xr2:uid="{00000000-000D-0000-FFFF-FFFF00000000}"/>
  </bookViews>
  <sheets>
    <sheet name="Valuation&gt;&gt;" sheetId="13" r:id="rId1"/>
    <sheet name="Price Target Summary" sheetId="14" r:id="rId2"/>
    <sheet name="DCF (FCF)" sheetId="1" r:id="rId3"/>
    <sheet name="DCF (OCF)" sheetId="11" r:id="rId4"/>
    <sheet name="DCF (Sales)" sheetId="12" r:id="rId5"/>
    <sheet name="DCF (EPS)" sheetId="8" r:id="rId6"/>
    <sheet name="Historical Multiples" sheetId="2" r:id="rId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0" i="14" l="1"/>
  <c r="D8" i="8"/>
  <c r="F16" i="8" s="1"/>
  <c r="D7" i="8"/>
  <c r="E16" i="8" s="1"/>
  <c r="D8" i="1"/>
  <c r="F16" i="1" s="1"/>
  <c r="D7" i="1"/>
  <c r="E16" i="1" s="1"/>
  <c r="D6" i="12"/>
  <c r="D16" i="12" s="1"/>
  <c r="C12" i="1"/>
  <c r="C13" i="1" s="1"/>
  <c r="C14" i="1" s="1"/>
  <c r="C15" i="1" s="1"/>
  <c r="C16" i="1" s="1"/>
  <c r="C13" i="11"/>
  <c r="C14" i="11" s="1"/>
  <c r="C15" i="11" s="1"/>
  <c r="C16" i="11" s="1"/>
  <c r="C12" i="11"/>
  <c r="C13" i="8"/>
  <c r="C14" i="8" s="1"/>
  <c r="C15" i="8" s="1"/>
  <c r="C16" i="8" s="1"/>
  <c r="C12" i="8"/>
  <c r="C13" i="12"/>
  <c r="C14" i="12" s="1"/>
  <c r="C15" i="12" s="1"/>
  <c r="C16" i="12" s="1"/>
  <c r="C12" i="12"/>
  <c r="D16" i="1"/>
  <c r="D16" i="8"/>
  <c r="F16" i="12"/>
  <c r="E16" i="12"/>
  <c r="E65" i="12"/>
  <c r="E64" i="12"/>
  <c r="E59" i="12"/>
  <c r="E58" i="12"/>
  <c r="E57" i="12"/>
  <c r="E56" i="12"/>
  <c r="E55" i="12"/>
  <c r="E69" i="12" l="1"/>
  <c r="C72" i="12" s="1"/>
  <c r="D72" i="12" s="1"/>
  <c r="C73" i="12" l="1"/>
  <c r="D73" i="12" s="1"/>
  <c r="C7" i="12" s="1"/>
  <c r="D4" i="11" l="1"/>
  <c r="L11" i="2"/>
  <c r="L12" i="2"/>
  <c r="L13" i="2"/>
  <c r="L14" i="2"/>
  <c r="L15" i="2"/>
  <c r="L16" i="2"/>
  <c r="L17" i="2"/>
  <c r="L18" i="2"/>
  <c r="L19" i="2"/>
  <c r="L10" i="2"/>
  <c r="N43" i="2"/>
  <c r="K18" i="2" s="1"/>
  <c r="N44" i="2"/>
  <c r="K17" i="2" s="1"/>
  <c r="N45" i="2"/>
  <c r="K16" i="2" s="1"/>
  <c r="N46" i="2"/>
  <c r="K15" i="2" s="1"/>
  <c r="N47" i="2"/>
  <c r="K14" i="2" s="1"/>
  <c r="N48" i="2"/>
  <c r="K13" i="2" s="1"/>
  <c r="N49" i="2"/>
  <c r="K12" i="2" s="1"/>
  <c r="N50" i="2"/>
  <c r="K11" i="2" s="1"/>
  <c r="N51" i="2"/>
  <c r="K10" i="2" s="1"/>
  <c r="N42" i="2"/>
  <c r="K19" i="2" s="1"/>
  <c r="J11" i="2" l="1"/>
  <c r="J12" i="2"/>
  <c r="J13" i="2"/>
  <c r="J14" i="2"/>
  <c r="J15" i="2"/>
  <c r="J16" i="2"/>
  <c r="J17" i="2"/>
  <c r="J18" i="2"/>
  <c r="J19" i="2"/>
  <c r="J10" i="2"/>
  <c r="I43" i="2"/>
  <c r="I18" i="2" s="1"/>
  <c r="I44" i="2"/>
  <c r="I17" i="2" s="1"/>
  <c r="I45" i="2"/>
  <c r="I16" i="2" s="1"/>
  <c r="I46" i="2"/>
  <c r="I15" i="2" s="1"/>
  <c r="I47" i="2"/>
  <c r="I14" i="2" s="1"/>
  <c r="I48" i="2"/>
  <c r="I13" i="2" s="1"/>
  <c r="I49" i="2"/>
  <c r="I12" i="2" s="1"/>
  <c r="I50" i="2"/>
  <c r="I11" i="2" s="1"/>
  <c r="I51" i="2"/>
  <c r="I10" i="2" s="1"/>
  <c r="I42" i="2"/>
  <c r="I19" i="2" s="1"/>
  <c r="D7" i="12" l="1"/>
  <c r="D7" i="14" s="1"/>
  <c r="D27" i="12"/>
  <c r="D29" i="12"/>
  <c r="D33" i="12"/>
  <c r="F11" i="12"/>
  <c r="J11" i="12" s="1"/>
  <c r="E47" i="12"/>
  <c r="E46" i="12"/>
  <c r="E45" i="12"/>
  <c r="F33" i="12"/>
  <c r="D32" i="12"/>
  <c r="D31" i="12"/>
  <c r="D30" i="12"/>
  <c r="D26" i="12"/>
  <c r="D25" i="12"/>
  <c r="V16" i="12" a="1"/>
  <c r="V16" i="12" s="1"/>
  <c r="V15" i="12" a="1"/>
  <c r="V15" i="12" s="1"/>
  <c r="V14" i="12" a="1"/>
  <c r="V14" i="12" s="1"/>
  <c r="V12" i="12" a="1"/>
  <c r="V12" i="12" s="1"/>
  <c r="E46" i="11"/>
  <c r="D28" i="11"/>
  <c r="D29" i="11"/>
  <c r="D30" i="11"/>
  <c r="F33" i="11"/>
  <c r="D32" i="11"/>
  <c r="D33" i="11"/>
  <c r="F11" i="11"/>
  <c r="W99" i="11"/>
  <c r="V96" i="11" a="1"/>
  <c r="V96" i="11" s="1"/>
  <c r="E47" i="11"/>
  <c r="D27" i="11"/>
  <c r="D26" i="11"/>
  <c r="D25" i="11"/>
  <c r="V16" i="11" a="1"/>
  <c r="V16" i="11" s="1"/>
  <c r="V15" i="11" a="1"/>
  <c r="V15" i="11" s="1"/>
  <c r="V14" i="11" a="1"/>
  <c r="V14" i="11" s="1"/>
  <c r="V12" i="11" a="1"/>
  <c r="V12" i="11" s="1"/>
  <c r="V98" i="11" s="1"/>
  <c r="E47" i="8"/>
  <c r="E46" i="8"/>
  <c r="D26" i="8"/>
  <c r="D27" i="8"/>
  <c r="D28" i="8"/>
  <c r="D29" i="8"/>
  <c r="D30" i="8"/>
  <c r="D31" i="8"/>
  <c r="D32" i="8"/>
  <c r="D33" i="8"/>
  <c r="D25" i="8"/>
  <c r="F11" i="8"/>
  <c r="F12" i="8" s="1"/>
  <c r="F31" i="8"/>
  <c r="W99" i="8"/>
  <c r="V96" i="8" a="1"/>
  <c r="V96" i="8" s="1"/>
  <c r="V16" i="8" a="1"/>
  <c r="V16" i="8" s="1"/>
  <c r="V15" i="8" a="1"/>
  <c r="V15" i="8" s="1"/>
  <c r="V14" i="8" a="1"/>
  <c r="V14" i="8" s="1"/>
  <c r="V12" i="8" a="1"/>
  <c r="V12" i="8" s="1"/>
  <c r="V98" i="8" s="1"/>
  <c r="H31" i="8" l="1"/>
  <c r="C6" i="8" s="1"/>
  <c r="H33" i="8"/>
  <c r="H32" i="8"/>
  <c r="C10" i="14"/>
  <c r="H32" i="12"/>
  <c r="F31" i="12"/>
  <c r="D11" i="12"/>
  <c r="H11" i="12" s="1"/>
  <c r="F32" i="12"/>
  <c r="D28" i="12"/>
  <c r="H31" i="12"/>
  <c r="H33" i="12"/>
  <c r="F12" i="12"/>
  <c r="E45" i="11"/>
  <c r="J11" i="11"/>
  <c r="F12" i="11"/>
  <c r="F13" i="11" s="1"/>
  <c r="F14" i="11" s="1"/>
  <c r="D31" i="11"/>
  <c r="H33" i="11" s="1"/>
  <c r="F32" i="11"/>
  <c r="F31" i="11"/>
  <c r="H31" i="11"/>
  <c r="D11" i="11"/>
  <c r="E45" i="8"/>
  <c r="F33" i="8"/>
  <c r="F32" i="8"/>
  <c r="C7" i="8" s="1"/>
  <c r="D11" i="8"/>
  <c r="D12" i="8" s="1"/>
  <c r="D13" i="8" s="1"/>
  <c r="J12" i="8"/>
  <c r="F13" i="8"/>
  <c r="J11" i="8"/>
  <c r="D6" i="8" l="1"/>
  <c r="D12" i="12"/>
  <c r="D13" i="12" s="1"/>
  <c r="E11" i="8"/>
  <c r="I11" i="8" s="1"/>
  <c r="F13" i="12"/>
  <c r="J12" i="12"/>
  <c r="J12" i="11"/>
  <c r="J13" i="11"/>
  <c r="H32" i="11"/>
  <c r="C7" i="11" s="1"/>
  <c r="C9" i="14" s="1"/>
  <c r="D12" i="11"/>
  <c r="H11" i="11"/>
  <c r="J14" i="11"/>
  <c r="F15" i="11"/>
  <c r="H12" i="8"/>
  <c r="H11" i="8"/>
  <c r="F14" i="8"/>
  <c r="J13" i="8"/>
  <c r="D14" i="8"/>
  <c r="H13" i="8"/>
  <c r="E11" i="11" l="1"/>
  <c r="E12" i="11" s="1"/>
  <c r="D10" i="14"/>
  <c r="H12" i="12"/>
  <c r="E12" i="8"/>
  <c r="I12" i="8" s="1"/>
  <c r="I11" i="11"/>
  <c r="D14" i="12"/>
  <c r="H13" i="12"/>
  <c r="F14" i="12"/>
  <c r="J13" i="12"/>
  <c r="H12" i="11"/>
  <c r="D13" i="11"/>
  <c r="J15" i="11"/>
  <c r="E13" i="11"/>
  <c r="I12" i="11"/>
  <c r="E13" i="8"/>
  <c r="I13" i="8" s="1"/>
  <c r="D15" i="8"/>
  <c r="H14" i="8"/>
  <c r="J14" i="8"/>
  <c r="F15" i="8"/>
  <c r="J14" i="12" l="1"/>
  <c r="F15" i="12"/>
  <c r="D15" i="12"/>
  <c r="H14" i="12"/>
  <c r="E14" i="11"/>
  <c r="I13" i="11"/>
  <c r="D14" i="11"/>
  <c r="H13" i="11"/>
  <c r="E14" i="8"/>
  <c r="J15" i="8"/>
  <c r="I14" i="8"/>
  <c r="E15" i="8"/>
  <c r="H15" i="8"/>
  <c r="H15" i="12" l="1"/>
  <c r="J15" i="12"/>
  <c r="H14" i="11"/>
  <c r="D15" i="11"/>
  <c r="I14" i="11"/>
  <c r="E15" i="11"/>
  <c r="I15" i="8"/>
  <c r="H15" i="11" l="1"/>
  <c r="I15" i="11"/>
  <c r="J16" i="8" l="1"/>
  <c r="H16" i="8"/>
  <c r="I18" i="8" s="1"/>
  <c r="I20" i="8" l="1"/>
  <c r="J20" i="8" s="1"/>
  <c r="J16" i="12"/>
  <c r="H16" i="12"/>
  <c r="J18" i="8"/>
  <c r="I16" i="8"/>
  <c r="I19" i="8" s="1"/>
  <c r="I18" i="12" l="1"/>
  <c r="J18" i="12" s="1"/>
  <c r="I20" i="12"/>
  <c r="J20" i="12" s="1"/>
  <c r="J19" i="8"/>
  <c r="M11" i="8" l="1"/>
  <c r="N11" i="8" l="1"/>
  <c r="N14" i="8" s="1"/>
  <c r="E10" i="14"/>
  <c r="F10" i="14" s="1"/>
  <c r="G10" i="14" s="1"/>
  <c r="E47" i="1"/>
  <c r="D8" i="11" s="1"/>
  <c r="E46" i="1"/>
  <c r="E45" i="1"/>
  <c r="E25" i="1"/>
  <c r="E26" i="1"/>
  <c r="E27" i="1"/>
  <c r="E28" i="1"/>
  <c r="E29" i="1"/>
  <c r="E30" i="1"/>
  <c r="E31" i="1"/>
  <c r="E32" i="1"/>
  <c r="E33" i="1"/>
  <c r="E24" i="1"/>
  <c r="I33" i="1"/>
  <c r="C7" i="1" s="1"/>
  <c r="I32" i="1"/>
  <c r="I31" i="1"/>
  <c r="O33" i="2"/>
  <c r="O32" i="2"/>
  <c r="O31" i="2"/>
  <c r="F27" i="2"/>
  <c r="E27" i="2"/>
  <c r="D27" i="2"/>
  <c r="F26" i="2"/>
  <c r="E26" i="2"/>
  <c r="D26" i="2"/>
  <c r="F25" i="2"/>
  <c r="E25" i="2"/>
  <c r="D25" i="2"/>
  <c r="F24" i="2"/>
  <c r="E24" i="2"/>
  <c r="D24" i="2"/>
  <c r="F23" i="2"/>
  <c r="E23" i="2"/>
  <c r="D23" i="2"/>
  <c r="F22" i="2"/>
  <c r="E22" i="2"/>
  <c r="D22" i="2"/>
  <c r="F21" i="2"/>
  <c r="E21" i="2"/>
  <c r="D21" i="2"/>
  <c r="F20" i="2"/>
  <c r="E20" i="2"/>
  <c r="D20" i="2"/>
  <c r="F19" i="2"/>
  <c r="E19" i="2"/>
  <c r="D19" i="2"/>
  <c r="U18" i="2"/>
  <c r="F18" i="2"/>
  <c r="E18" i="2"/>
  <c r="D18" i="2"/>
  <c r="U17" i="2"/>
  <c r="U16" i="2"/>
  <c r="U15" i="2"/>
  <c r="U14" i="2"/>
  <c r="U13" i="2"/>
  <c r="U12" i="2"/>
  <c r="U11" i="2"/>
  <c r="U10" i="2"/>
  <c r="T9" i="2"/>
  <c r="S9" i="2"/>
  <c r="R9" i="2"/>
  <c r="Q9" i="2"/>
  <c r="P9" i="2"/>
  <c r="W99" i="1"/>
  <c r="V96" i="1" a="1"/>
  <c r="V96" i="1" s="1"/>
  <c r="V16" i="1" a="1"/>
  <c r="V16" i="1" s="1"/>
  <c r="V15" i="1" a="1"/>
  <c r="V15" i="1" s="1"/>
  <c r="V14" i="1" a="1"/>
  <c r="V14" i="1" s="1"/>
  <c r="V12" i="1" a="1"/>
  <c r="V12" i="1" s="1"/>
  <c r="V98" i="1" s="1"/>
  <c r="F16" i="11" l="1"/>
  <c r="J16" i="11" s="1"/>
  <c r="I20" i="11" s="1"/>
  <c r="J20" i="11" s="1"/>
  <c r="D7" i="11"/>
  <c r="C8" i="14"/>
  <c r="F30" i="2"/>
  <c r="V12" i="2" s="1"/>
  <c r="W12" i="2" s="1" a="1"/>
  <c r="W12" i="2" s="1"/>
  <c r="D30" i="2"/>
  <c r="V10" i="2" s="1"/>
  <c r="W10" i="2" s="1" a="1"/>
  <c r="W10" i="2" s="1"/>
  <c r="F31" i="2"/>
  <c r="D13" i="14" s="1"/>
  <c r="E30" i="2"/>
  <c r="V11" i="2" s="1"/>
  <c r="E31" i="2"/>
  <c r="D31" i="2"/>
  <c r="D11" i="14" s="1"/>
  <c r="W11" i="2" a="1"/>
  <c r="W11" i="2" s="1"/>
  <c r="D6" i="1"/>
  <c r="F25" i="1"/>
  <c r="F32" i="1"/>
  <c r="F31" i="1"/>
  <c r="F33" i="1"/>
  <c r="F29" i="1"/>
  <c r="F28" i="1"/>
  <c r="F26" i="1"/>
  <c r="F30" i="1"/>
  <c r="F27" i="1"/>
  <c r="E11" i="1"/>
  <c r="E12" i="1" s="1"/>
  <c r="I12" i="1" s="1"/>
  <c r="F11" i="1"/>
  <c r="F12" i="1" s="1"/>
  <c r="D11" i="1"/>
  <c r="D12" i="1" s="1"/>
  <c r="F28" i="2"/>
  <c r="E28" i="2"/>
  <c r="D28" i="2"/>
  <c r="E16" i="11" l="1"/>
  <c r="I16" i="11" s="1"/>
  <c r="I19" i="11" s="1"/>
  <c r="J19" i="11" s="1"/>
  <c r="V15" i="2"/>
  <c r="W15" i="2" s="1" a="1"/>
  <c r="W15" i="2" s="1"/>
  <c r="D6" i="11"/>
  <c r="D16" i="11" s="1"/>
  <c r="D8" i="14"/>
  <c r="P33" i="2"/>
  <c r="E13" i="14" s="1"/>
  <c r="F13" i="14" s="1"/>
  <c r="G13" i="14" s="1"/>
  <c r="P31" i="2"/>
  <c r="E11" i="14" s="1"/>
  <c r="F11" i="14" s="1"/>
  <c r="G11" i="14" s="1"/>
  <c r="V13" i="2"/>
  <c r="W13" i="2" s="1" a="1"/>
  <c r="W13" i="2" s="1"/>
  <c r="V14" i="2"/>
  <c r="W14" i="2" s="1" a="1"/>
  <c r="W14" i="2" s="1"/>
  <c r="D12" i="14"/>
  <c r="P32" i="2"/>
  <c r="E12" i="14" s="1"/>
  <c r="F12" i="14" s="1"/>
  <c r="G12" i="14" s="1"/>
  <c r="E13" i="1"/>
  <c r="E14" i="1" s="1"/>
  <c r="I11" i="1"/>
  <c r="J11" i="1"/>
  <c r="H11" i="1"/>
  <c r="V17" i="2"/>
  <c r="W17" i="2" s="1" a="1"/>
  <c r="W17" i="2" s="1"/>
  <c r="P25" i="2"/>
  <c r="O25" i="2"/>
  <c r="V18" i="2"/>
  <c r="W18" i="2" s="1" a="1"/>
  <c r="W18" i="2" s="1"/>
  <c r="O26" i="2"/>
  <c r="P26" i="2"/>
  <c r="P24" i="2"/>
  <c r="V16" i="2"/>
  <c r="W16" i="2" s="1" a="1"/>
  <c r="W16" i="2" s="1"/>
  <c r="O24" i="2"/>
  <c r="J12" i="1"/>
  <c r="F13" i="1"/>
  <c r="H12" i="1"/>
  <c r="D13" i="1"/>
  <c r="D9" i="14" l="1"/>
  <c r="H16" i="11"/>
  <c r="I18" i="11" s="1"/>
  <c r="C7" i="14"/>
  <c r="E11" i="12"/>
  <c r="Q31" i="2"/>
  <c r="I13" i="1"/>
  <c r="E15" i="1"/>
  <c r="I14" i="1"/>
  <c r="D14" i="1"/>
  <c r="H13" i="1"/>
  <c r="F14" i="1"/>
  <c r="J13" i="1"/>
  <c r="J18" i="11" l="1"/>
  <c r="M11" i="11"/>
  <c r="I11" i="12"/>
  <c r="E12" i="12"/>
  <c r="J14" i="1"/>
  <c r="F15" i="1"/>
  <c r="D15" i="1"/>
  <c r="H14" i="1"/>
  <c r="I15" i="1"/>
  <c r="N11" i="11" l="1"/>
  <c r="N14" i="11" s="1"/>
  <c r="E9" i="14"/>
  <c r="F9" i="14" s="1"/>
  <c r="G9" i="14" s="1"/>
  <c r="I12" i="12"/>
  <c r="E13" i="12"/>
  <c r="H15" i="1"/>
  <c r="J15" i="1"/>
  <c r="E14" i="12" l="1"/>
  <c r="I13" i="12"/>
  <c r="E15" i="12" l="1"/>
  <c r="I14" i="12"/>
  <c r="I15" i="12" l="1"/>
  <c r="I16" i="1" l="1"/>
  <c r="I19" i="1" l="1"/>
  <c r="J19" i="1" s="1"/>
  <c r="J16" i="1"/>
  <c r="H16" i="1"/>
  <c r="I18" i="1" l="1"/>
  <c r="J18" i="1" s="1"/>
  <c r="I20" i="1"/>
  <c r="J20" i="1" s="1"/>
  <c r="M11" i="1" l="1"/>
  <c r="N11" i="1" l="1"/>
  <c r="N14" i="1" s="1"/>
  <c r="E8" i="14"/>
  <c r="F8" i="14" s="1"/>
  <c r="G8" i="14" s="1"/>
  <c r="I16" i="12"/>
  <c r="I19" i="12" s="1"/>
  <c r="J19" i="12" l="1"/>
  <c r="M11" i="12"/>
  <c r="E7" i="14" s="1"/>
  <c r="N11" i="12" l="1"/>
  <c r="N14" i="12" s="1"/>
  <c r="F7" i="14"/>
  <c r="G7" i="14" l="1"/>
  <c r="G14" i="14" s="1"/>
  <c r="F14" i="14"/>
  <c r="F20" i="1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6"/>
        </ext>
      </extLst>
    </bk>
  </futureMetadata>
  <cellMetadata count="1">
    <bk>
      <rc t="1" v="0"/>
    </bk>
  </cellMetadata>
  <valueMetadata count="1">
    <bk>
      <rc t="2" v="0"/>
    </bk>
  </valueMetadata>
</metadata>
</file>

<file path=xl/sharedStrings.xml><?xml version="1.0" encoding="utf-8"?>
<sst xmlns="http://schemas.openxmlformats.org/spreadsheetml/2006/main" count="448" uniqueCount="174">
  <si>
    <t>Required Rate of Return =</t>
  </si>
  <si>
    <t>Company Analysis Checklist</t>
  </si>
  <si>
    <t>Checklist Ratings</t>
  </si>
  <si>
    <t>In millions</t>
  </si>
  <si>
    <t>Pass/Fail</t>
  </si>
  <si>
    <t>Weight</t>
  </si>
  <si>
    <t>Introductory Questions</t>
  </si>
  <si>
    <t>Period</t>
  </si>
  <si>
    <t>YEAR</t>
  </si>
  <si>
    <t>FREE CASH BEST</t>
  </si>
  <si>
    <t>FREE CASH BASE</t>
  </si>
  <si>
    <t>FREE CASH WORST</t>
  </si>
  <si>
    <t>DISCOUNTED CASH BEST</t>
  </si>
  <si>
    <t>DISCOUNTED CASH BASE</t>
  </si>
  <si>
    <t>DISCOUNTED CASH WORST</t>
  </si>
  <si>
    <t>Free Cash Flow</t>
  </si>
  <si>
    <t>Shares Outstanding</t>
  </si>
  <si>
    <t>Intrinsic Value</t>
  </si>
  <si>
    <t>Intrinsic Per Share</t>
  </si>
  <si>
    <t>1 - 5</t>
  </si>
  <si>
    <t>Understanding the Business</t>
  </si>
  <si>
    <t>N/A</t>
  </si>
  <si>
    <t>How diverse is the company’s customer base?</t>
  </si>
  <si>
    <t>Current Price per Share</t>
  </si>
  <si>
    <t>Anything over 15% for a single customer is excessive for most industries</t>
  </si>
  <si>
    <t>Current Margin of Safety</t>
  </si>
  <si>
    <t>Who are the company’s primary customers?</t>
  </si>
  <si>
    <t>Do they primarily serve corporate customers or individual consumers?</t>
  </si>
  <si>
    <t>What are the demographics of these customers? Is it a growing demographic?</t>
  </si>
  <si>
    <t>Demand vs Supply</t>
  </si>
  <si>
    <t>Intrinsic Value Best</t>
  </si>
  <si>
    <t>Intrinsic Value Base</t>
  </si>
  <si>
    <t>Intrinsic Value Worst</t>
  </si>
  <si>
    <t>Market Cap</t>
  </si>
  <si>
    <t>Year</t>
  </si>
  <si>
    <t>Revenue</t>
  </si>
  <si>
    <t>TV Multiple</t>
  </si>
  <si>
    <t>Competitor Averages</t>
  </si>
  <si>
    <t>Is management placing focus on developing new revenue streams?</t>
  </si>
  <si>
    <t>Eventually, all products/services reach a point of stagnation even if their nature leads to recurring sales</t>
  </si>
  <si>
    <t>Score:</t>
  </si>
  <si>
    <t>FCF</t>
  </si>
  <si>
    <t>Current</t>
  </si>
  <si>
    <t>TTM</t>
  </si>
  <si>
    <t>5 Year Averages</t>
  </si>
  <si>
    <t>Metric</t>
  </si>
  <si>
    <t>10 Year Averages</t>
  </si>
  <si>
    <t>Target Company Historical Figures</t>
  </si>
  <si>
    <t>Competitor Valuation History</t>
  </si>
  <si>
    <t>Average Market Cap</t>
  </si>
  <si>
    <t>Sales</t>
  </si>
  <si>
    <t>Average Book Value</t>
  </si>
  <si>
    <t>Competitor Name:</t>
  </si>
  <si>
    <t>Difference &gt; 15%?</t>
  </si>
  <si>
    <t>Stock Ticker:</t>
  </si>
  <si>
    <r>
      <rPr>
        <b/>
        <sz val="12"/>
        <color rgb="FFFF0000"/>
        <rFont val="Calibri (Body)"/>
      </rPr>
      <t>A.</t>
    </r>
    <r>
      <rPr>
        <sz val="11"/>
        <color theme="1"/>
        <rFont val="Calibri"/>
        <family val="2"/>
        <scheme val="minor"/>
      </rPr>
      <t xml:space="preserve"> Determine appropriate MOS first! Based on comprehension of business and Robustness score.</t>
    </r>
  </si>
  <si>
    <t>P/S</t>
  </si>
  <si>
    <t>P/BV</t>
  </si>
  <si>
    <t>Margin of Safety</t>
  </si>
  <si>
    <t>P/FCF</t>
  </si>
  <si>
    <r>
      <rPr>
        <b/>
        <sz val="12"/>
        <color rgb="FFFF0000"/>
        <rFont val="Calibri (Body)"/>
      </rPr>
      <t>B.</t>
    </r>
    <r>
      <rPr>
        <sz val="11"/>
        <color theme="1"/>
        <rFont val="Calibri"/>
        <family val="2"/>
        <scheme val="minor"/>
      </rPr>
      <t xml:space="preserve"> Analyze Valuation Ratios - populate Table</t>
    </r>
  </si>
  <si>
    <r>
      <rPr>
        <b/>
        <sz val="12"/>
        <color rgb="FFFF0000"/>
        <rFont val="Calibri (Body)"/>
      </rPr>
      <t xml:space="preserve">D. </t>
    </r>
    <r>
      <rPr>
        <sz val="11"/>
        <color theme="1"/>
        <rFont val="Calibri"/>
        <family val="2"/>
        <scheme val="minor"/>
      </rPr>
      <t>Determine whether or not the target company is at an appropriate MOS</t>
    </r>
  </si>
  <si>
    <r>
      <rPr>
        <b/>
        <sz val="12"/>
        <color rgb="FFFF0000"/>
        <rFont val="Calibri (Body)"/>
      </rPr>
      <t>C.</t>
    </r>
    <r>
      <rPr>
        <sz val="11"/>
        <color theme="1"/>
        <rFont val="Calibri"/>
        <family val="2"/>
        <scheme val="minor"/>
      </rPr>
      <t xml:space="preserve"> Compare Target Company historical valuation metrics to competitors</t>
    </r>
  </si>
  <si>
    <t>Current vs 5 Year</t>
  </si>
  <si>
    <t>Current vs 10 Year</t>
  </si>
  <si>
    <t>- Are there large descrepencies (25%+), and if so, is there evidence for why those descrepencies will continue?</t>
  </si>
  <si>
    <t>- Has there been descrepencies in valuation between the target company and competitors in the past that isn't reflected in current valuation ratios? If so, is there evidence that those descrepencies will return in the future?</t>
  </si>
  <si>
    <t>Buy Price per Metric with MOS</t>
  </si>
  <si>
    <t>5 Year Avg</t>
  </si>
  <si>
    <t>10 Year Avg</t>
  </si>
  <si>
    <t>Buy Price w/ MOS</t>
  </si>
  <si>
    <t>Average</t>
  </si>
  <si>
    <t>Book Value</t>
  </si>
  <si>
    <t>Current Mrkt Cap</t>
  </si>
  <si>
    <t>Free Cash</t>
  </si>
  <si>
    <t>Growth</t>
  </si>
  <si>
    <t>Adobe</t>
  </si>
  <si>
    <t>n/a</t>
  </si>
  <si>
    <t>10 year CAGR</t>
  </si>
  <si>
    <t>5 year CAGR</t>
  </si>
  <si>
    <t>3 year CAGR</t>
  </si>
  <si>
    <t>SBC</t>
  </si>
  <si>
    <t>Net FCF</t>
  </si>
  <si>
    <t>FCF Growth</t>
  </si>
  <si>
    <t>Long-term CAGRs</t>
  </si>
  <si>
    <t>FCF Multiple</t>
  </si>
  <si>
    <t>Long-term Averages</t>
  </si>
  <si>
    <t>10 year Avg</t>
  </si>
  <si>
    <t>5 year Avg</t>
  </si>
  <si>
    <t>3 year Avg</t>
  </si>
  <si>
    <t>Case</t>
  </si>
  <si>
    <t>Base</t>
  </si>
  <si>
    <t>Bull</t>
  </si>
  <si>
    <t>Bear</t>
  </si>
  <si>
    <t>Share Price</t>
  </si>
  <si>
    <t>Current Market Cap</t>
  </si>
  <si>
    <t>EPS</t>
  </si>
  <si>
    <t>EPS Growth</t>
  </si>
  <si>
    <t>Median CAGRs</t>
  </si>
  <si>
    <t>PE</t>
  </si>
  <si>
    <t>OCF</t>
  </si>
  <si>
    <t>OCF Growth</t>
  </si>
  <si>
    <t>OCF Multiple</t>
  </si>
  <si>
    <t>Methodology</t>
  </si>
  <si>
    <t>Intrinsic Value per Share</t>
  </si>
  <si>
    <t>DCF (Sales)</t>
  </si>
  <si>
    <t>DCF (FCF)</t>
  </si>
  <si>
    <t>DCF (EPS)</t>
  </si>
  <si>
    <t>Current Discount (Premium)</t>
  </si>
  <si>
    <t>Ending Market Cap</t>
  </si>
  <si>
    <t>Avg Market Cap</t>
  </si>
  <si>
    <t>Q4</t>
  </si>
  <si>
    <t>Q3</t>
  </si>
  <si>
    <t>Q2</t>
  </si>
  <si>
    <t>Q1</t>
  </si>
  <si>
    <t>Quarter</t>
  </si>
  <si>
    <t>Historical Market Cap</t>
  </si>
  <si>
    <t>Average BV</t>
  </si>
  <si>
    <t>Each metric in the above table will appear green if it is equal to or less than 1 - MOS.</t>
  </si>
  <si>
    <t>DCF (OCF)</t>
  </si>
  <si>
    <t>Discount to FCF multiple</t>
  </si>
  <si>
    <t>Salesforce</t>
  </si>
  <si>
    <t>Microsoft</t>
  </si>
  <si>
    <t>Oracle</t>
  </si>
  <si>
    <t>SAP</t>
  </si>
  <si>
    <t>Docusign</t>
  </si>
  <si>
    <t>ADBE historically had higher P/S and P/BV because its FCF margin is so high.</t>
  </si>
  <si>
    <t>Sales Growth</t>
  </si>
  <si>
    <t>Price to Sales</t>
  </si>
  <si>
    <t>Buy Price</t>
  </si>
  <si>
    <t>40% MOS</t>
  </si>
  <si>
    <t>Q1'25</t>
  </si>
  <si>
    <t>Q2'25</t>
  </si>
  <si>
    <t>Q3'25</t>
  </si>
  <si>
    <t>Q4'25</t>
  </si>
  <si>
    <t>Q1'26</t>
  </si>
  <si>
    <t>Q2'26</t>
  </si>
  <si>
    <t>Q3'26</t>
  </si>
  <si>
    <t>Q4'26</t>
  </si>
  <si>
    <t>Revenue to cRPO Analysis</t>
  </si>
  <si>
    <t>PY cRPO as % of Revenue</t>
  </si>
  <si>
    <t>Projection</t>
  </si>
  <si>
    <t>Implied Growth</t>
  </si>
  <si>
    <t>cRPO</t>
  </si>
  <si>
    <t>TTM Q1'27</t>
  </si>
  <si>
    <t>Shares Outstanding at 3.22.2026</t>
  </si>
  <si>
    <t>Share Price at 3.22.2026</t>
  </si>
  <si>
    <t>OPERATING CASH BEST</t>
  </si>
  <si>
    <t>OPERATING CASH BASE</t>
  </si>
  <si>
    <t>OPERATING CASH WORST</t>
  </si>
  <si>
    <t>SALES BEST</t>
  </si>
  <si>
    <t>SALES BASE</t>
  </si>
  <si>
    <t>SALES WORST</t>
  </si>
  <si>
    <t>DISCOUNTED SALES BEST</t>
  </si>
  <si>
    <t>DISCOUNTED SALES BASE</t>
  </si>
  <si>
    <t>DISCOUNTED SALES WORST</t>
  </si>
  <si>
    <t>EPS BEST</t>
  </si>
  <si>
    <t>EPS BASE</t>
  </si>
  <si>
    <t>EPS WORST</t>
  </si>
  <si>
    <t>DISCOUNTED EPS BEST</t>
  </si>
  <si>
    <t>DISCOUNTED EPS BASE</t>
  </si>
  <si>
    <t>DISCOUNTED EPS WORST</t>
  </si>
  <si>
    <t>calculated using 40% MOS as SaaS companies may no longer demand elevated valuations</t>
  </si>
  <si>
    <t>Calculated with 15% discount rate (minimum required annual rate of return)</t>
  </si>
  <si>
    <t>Estimated Growth</t>
  </si>
  <si>
    <t>Assumed Exit Multiple</t>
  </si>
  <si>
    <t>Multiple = minimum of historical average (pre-2025)</t>
  </si>
  <si>
    <t>Multiple = historical average (including 2025)</t>
  </si>
  <si>
    <t>Multiple = minimum of 2x Growth rate or 3-year, 5-year, or 10-year averages</t>
  </si>
  <si>
    <t>Multiple = average historical discount of OCF multiple compared to FCF multiple</t>
  </si>
  <si>
    <t>Multiple = extreme distress</t>
  </si>
  <si>
    <t>Multiple (Price to sales)</t>
  </si>
  <si>
    <t>Multiple (Price to book)</t>
  </si>
  <si>
    <t>Multiple (Price to FCF)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</si>
</sst>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0.0%"/>
    <numFmt numFmtId="165" formatCode="_(&quot;$&quot;* #,##0_);_(&quot;$&quot;* \(#,##0\);_(&quot;$&quot;* &quot;-&quot;??_);_(@_)"/>
    <numFmt numFmtId="166" formatCode="_(* #,##0_);_(* \(#,##0\);_(* &quot;-&quot;??_);_(@_)"/>
    <numFmt numFmtId="167" formatCode="0.0"/>
    <numFmt numFmtId="168" formatCode="_(* #,##0.0_);_(* \(#,##0.0\);_(* &quot;-&quot;??_);_(@_)"/>
    <numFmt numFmtId="170" formatCode="_([$$-409]* #,##0_);_([$$-409]* \(#,##0\);_([$$-409]* &quot;-&quot;_);_(@_)"/>
    <numFmt numFmtId="171" formatCode="_(* #,##0.0_);_(* \(#,##0.0\);_(* &quot;-&quot;?_);_(@_)"/>
    <numFmt numFmtId="172" formatCode="_([$$-409]* #,##0.00_);_([$$-409]* \(#,##0.00\);_([$$-409]* &quot;-&quot;_);_(@_)"/>
    <numFmt numFmtId="173" formatCode="_(* #,##0_);_(* \(#,##0\);_(* &quot;-&quot;?_);_(@_)"/>
  </numFmts>
  <fonts count="26">
    <font>
      <sz val="11"/>
      <color theme="1"/>
      <name val="Calibri"/>
      <family val="2"/>
      <scheme val="minor"/>
    </font>
    <font>
      <sz val="11"/>
      <color theme="1"/>
      <name val="Calibri"/>
      <family val="2"/>
      <scheme val="minor"/>
    </font>
    <font>
      <sz val="14"/>
      <color theme="1"/>
      <name val="Calibri (Body)"/>
    </font>
    <font>
      <sz val="12"/>
      <color theme="1"/>
      <name val="Calibri"/>
      <family val="2"/>
      <scheme val="minor"/>
    </font>
    <font>
      <sz val="16"/>
      <name val="Calibri"/>
      <family val="2"/>
      <scheme val="minor"/>
    </font>
    <font>
      <b/>
      <sz val="14"/>
      <color theme="1"/>
      <name val="Calibri (Body)"/>
    </font>
    <font>
      <sz val="14"/>
      <name val="Calibri (Body)"/>
    </font>
    <font>
      <b/>
      <sz val="12"/>
      <color theme="1"/>
      <name val="Calibri"/>
      <family val="2"/>
      <scheme val="minor"/>
    </font>
    <font>
      <i/>
      <sz val="12"/>
      <color theme="1"/>
      <name val="Calibri"/>
      <family val="2"/>
      <scheme val="minor"/>
    </font>
    <font>
      <b/>
      <sz val="14"/>
      <name val="Calibri (Body)"/>
    </font>
    <font>
      <sz val="12"/>
      <color rgb="FF000000"/>
      <name val="Calibri"/>
      <family val="2"/>
      <scheme val="minor"/>
    </font>
    <font>
      <sz val="10"/>
      <color rgb="FF333333"/>
      <name val="Verdana"/>
      <family val="2"/>
    </font>
    <font>
      <b/>
      <i/>
      <sz val="14"/>
      <color theme="4" tint="-0.249977111117893"/>
      <name val="Calibri"/>
      <family val="2"/>
      <scheme val="minor"/>
    </font>
    <font>
      <b/>
      <sz val="12"/>
      <color theme="1"/>
      <name val="Arial"/>
      <family val="2"/>
    </font>
    <font>
      <sz val="12"/>
      <color rgb="FF212529"/>
      <name val="Helvetica Neue"/>
      <family val="2"/>
    </font>
    <font>
      <sz val="12"/>
      <color theme="1"/>
      <name val="Calibri"/>
      <family val="2"/>
    </font>
    <font>
      <b/>
      <sz val="12"/>
      <color rgb="FFFF0000"/>
      <name val="Calibri (Body)"/>
    </font>
    <font>
      <b/>
      <sz val="11"/>
      <color theme="1"/>
      <name val="Calibri"/>
      <family val="2"/>
      <scheme val="minor"/>
    </font>
    <font>
      <b/>
      <sz val="11"/>
      <color theme="0"/>
      <name val="Calibri"/>
      <family val="2"/>
      <scheme val="minor"/>
    </font>
    <font>
      <i/>
      <sz val="11"/>
      <color theme="1"/>
      <name val="Calibri"/>
      <family val="2"/>
      <scheme val="minor"/>
    </font>
    <font>
      <b/>
      <u/>
      <sz val="11"/>
      <color theme="1"/>
      <name val="Calibri"/>
      <family val="2"/>
      <scheme val="minor"/>
    </font>
    <font>
      <sz val="10"/>
      <color theme="1"/>
      <name val="Open Sans"/>
      <family val="2"/>
    </font>
    <font>
      <b/>
      <u/>
      <sz val="12"/>
      <color theme="1"/>
      <name val="Calibri"/>
      <family val="2"/>
      <scheme val="minor"/>
    </font>
    <font>
      <i/>
      <u/>
      <sz val="11"/>
      <color theme="1"/>
      <name val="Calibri"/>
      <family val="2"/>
      <scheme val="minor"/>
    </font>
    <font>
      <sz val="8"/>
      <name val="Calibri"/>
      <family val="2"/>
      <scheme val="minor"/>
    </font>
    <font>
      <sz val="11"/>
      <color rgb="FFFF0000"/>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rgb="FFFFFFFF"/>
        <bgColor indexed="64"/>
      </patternFill>
    </fill>
    <fill>
      <patternFill patternType="solid">
        <fgColor theme="6" tint="0.79998168889431442"/>
        <bgColor indexed="64"/>
      </patternFill>
    </fill>
  </fills>
  <borders count="2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58">
    <xf numFmtId="0" fontId="0" fillId="0" borderId="0" xfId="0"/>
    <xf numFmtId="0" fontId="0" fillId="0" borderId="0" xfId="0" applyAlignment="1">
      <alignment horizontal="right"/>
    </xf>
    <xf numFmtId="164" fontId="0" fillId="2" borderId="0" xfId="0" applyNumberFormat="1" applyFill="1"/>
    <xf numFmtId="164" fontId="0" fillId="0" borderId="0" xfId="0" applyNumberFormat="1"/>
    <xf numFmtId="0" fontId="2" fillId="0" borderId="1" xfId="0" applyFont="1" applyBorder="1"/>
    <xf numFmtId="0" fontId="2" fillId="0" borderId="2" xfId="0" applyFont="1" applyBorder="1"/>
    <xf numFmtId="0" fontId="2" fillId="0" borderId="2" xfId="0" applyFont="1" applyBorder="1" applyAlignment="1">
      <alignment horizontal="center"/>
    </xf>
    <xf numFmtId="0" fontId="2" fillId="0" borderId="3" xfId="0" applyFont="1" applyBorder="1"/>
    <xf numFmtId="9" fontId="0" fillId="0" borderId="0" xfId="0" applyNumberFormat="1"/>
    <xf numFmtId="0" fontId="2" fillId="0" borderId="4" xfId="0" applyFont="1" applyBorder="1"/>
    <xf numFmtId="0" fontId="2" fillId="0" borderId="0" xfId="0" applyFont="1"/>
    <xf numFmtId="0" fontId="2" fillId="0" borderId="0" xfId="0" applyFont="1" applyAlignment="1">
      <alignment wrapText="1"/>
    </xf>
    <xf numFmtId="0" fontId="2" fillId="0" borderId="0" xfId="0" applyFont="1" applyAlignment="1">
      <alignment horizontal="center" wrapText="1"/>
    </xf>
    <xf numFmtId="0" fontId="4" fillId="0" borderId="0" xfId="0" applyFont="1"/>
    <xf numFmtId="0" fontId="2" fillId="0" borderId="5" xfId="0" applyFont="1" applyBorder="1"/>
    <xf numFmtId="0" fontId="5" fillId="3" borderId="6" xfId="0" applyFont="1" applyFill="1" applyBorder="1" applyAlignment="1">
      <alignment horizontal="center" wrapText="1"/>
    </xf>
    <xf numFmtId="0" fontId="6" fillId="0" borderId="0" xfId="0" applyFont="1"/>
    <xf numFmtId="0" fontId="8" fillId="0" borderId="0" xfId="0" applyFont="1" applyAlignment="1">
      <alignment horizontal="right"/>
    </xf>
    <xf numFmtId="0" fontId="7" fillId="0" borderId="0" xfId="0" applyFont="1"/>
    <xf numFmtId="0" fontId="9" fillId="3" borderId="6" xfId="0" applyFont="1" applyFill="1" applyBorder="1"/>
    <xf numFmtId="0" fontId="11" fillId="0" borderId="0" xfId="0" applyFont="1"/>
    <xf numFmtId="0" fontId="7" fillId="0" borderId="6" xfId="0" applyFont="1" applyBorder="1" applyAlignment="1">
      <alignment horizontal="center"/>
    </xf>
    <xf numFmtId="0" fontId="7" fillId="0" borderId="7" xfId="0" applyFont="1" applyBorder="1" applyAlignment="1">
      <alignment horizontal="center"/>
    </xf>
    <xf numFmtId="0" fontId="2" fillId="3" borderId="6" xfId="0" applyFont="1" applyFill="1" applyBorder="1" applyAlignment="1">
      <alignment horizontal="center"/>
    </xf>
    <xf numFmtId="43" fontId="6" fillId="3" borderId="6" xfId="1" quotePrefix="1" applyFont="1" applyFill="1" applyBorder="1" applyAlignment="1">
      <alignment horizontal="center"/>
    </xf>
    <xf numFmtId="0" fontId="12" fillId="0" borderId="0" xfId="0" applyFont="1"/>
    <xf numFmtId="0" fontId="0" fillId="0" borderId="6" xfId="0" applyBorder="1"/>
    <xf numFmtId="165" fontId="0" fillId="2" borderId="6" xfId="2" applyNumberFormat="1" applyFont="1" applyFill="1" applyBorder="1"/>
    <xf numFmtId="165" fontId="0" fillId="2" borderId="6" xfId="0" applyNumberFormat="1" applyFill="1" applyBorder="1"/>
    <xf numFmtId="166" fontId="0" fillId="0" borderId="0" xfId="1" applyNumberFormat="1" applyFont="1"/>
    <xf numFmtId="165" fontId="0" fillId="4" borderId="0" xfId="0" applyNumberFormat="1" applyFill="1"/>
    <xf numFmtId="44" fontId="0" fillId="4" borderId="0" xfId="2" applyFont="1" applyFill="1"/>
    <xf numFmtId="3" fontId="11" fillId="0" borderId="0" xfId="0" applyNumberFormat="1" applyFont="1"/>
    <xf numFmtId="44" fontId="0" fillId="0" borderId="8" xfId="2" applyFont="1" applyBorder="1"/>
    <xf numFmtId="0" fontId="2" fillId="0" borderId="6" xfId="0" applyFont="1" applyBorder="1" applyAlignment="1">
      <alignment horizontal="center"/>
    </xf>
    <xf numFmtId="9" fontId="0" fillId="0" borderId="0" xfId="3" applyFont="1"/>
    <xf numFmtId="0" fontId="6" fillId="3" borderId="6" xfId="0" applyFont="1" applyFill="1" applyBorder="1" applyAlignment="1">
      <alignment horizontal="center"/>
    </xf>
    <xf numFmtId="0" fontId="6" fillId="0" borderId="6" xfId="0" applyFont="1" applyBorder="1" applyAlignment="1">
      <alignment horizontal="center"/>
    </xf>
    <xf numFmtId="165" fontId="0" fillId="2" borderId="6" xfId="2" applyNumberFormat="1" applyFont="1" applyFill="1" applyBorder="1" applyAlignment="1">
      <alignment horizontal="right"/>
    </xf>
    <xf numFmtId="0" fontId="7" fillId="5" borderId="0" xfId="0" applyFont="1" applyFill="1"/>
    <xf numFmtId="0" fontId="13" fillId="0" borderId="0" xfId="0" applyFont="1"/>
    <xf numFmtId="0" fontId="0" fillId="0" borderId="10" xfId="0" applyBorder="1"/>
    <xf numFmtId="0" fontId="0" fillId="0" borderId="12" xfId="0" applyBorder="1"/>
    <xf numFmtId="0" fontId="0" fillId="0" borderId="1" xfId="0" applyBorder="1"/>
    <xf numFmtId="0" fontId="0" fillId="0" borderId="13" xfId="0" applyBorder="1"/>
    <xf numFmtId="0" fontId="0" fillId="0" borderId="4" xfId="0" applyBorder="1"/>
    <xf numFmtId="166" fontId="0" fillId="0" borderId="0" xfId="1" applyNumberFormat="1" applyFont="1" applyBorder="1"/>
    <xf numFmtId="9" fontId="0" fillId="0" borderId="5" xfId="3" applyFont="1" applyBorder="1"/>
    <xf numFmtId="0" fontId="0" fillId="0" borderId="16" xfId="0" applyBorder="1"/>
    <xf numFmtId="10" fontId="11" fillId="0" borderId="0" xfId="0" applyNumberFormat="1" applyFont="1"/>
    <xf numFmtId="0" fontId="2" fillId="0" borderId="16" xfId="0" applyFont="1" applyBorder="1"/>
    <xf numFmtId="0" fontId="2" fillId="0" borderId="7" xfId="0" applyFont="1" applyBorder="1"/>
    <xf numFmtId="0" fontId="2" fillId="0" borderId="7" xfId="0" applyFont="1" applyBorder="1" applyAlignment="1">
      <alignment horizontal="center"/>
    </xf>
    <xf numFmtId="0" fontId="2" fillId="0" borderId="8" xfId="0" applyFont="1" applyBorder="1"/>
    <xf numFmtId="0" fontId="2" fillId="0" borderId="17" xfId="0" applyFont="1" applyBorder="1"/>
    <xf numFmtId="0" fontId="0" fillId="0" borderId="2" xfId="0" applyBorder="1"/>
    <xf numFmtId="0" fontId="0" fillId="0" borderId="3" xfId="0" applyBorder="1"/>
    <xf numFmtId="0" fontId="0" fillId="0" borderId="5" xfId="0" applyBorder="1"/>
    <xf numFmtId="0" fontId="0" fillId="0" borderId="7" xfId="0" applyBorder="1"/>
    <xf numFmtId="0" fontId="0" fillId="0" borderId="17" xfId="0" applyBorder="1"/>
    <xf numFmtId="0" fontId="0" fillId="0" borderId="19" xfId="0" applyBorder="1"/>
    <xf numFmtId="0" fontId="0" fillId="0" borderId="11" xfId="0" applyBorder="1"/>
    <xf numFmtId="9" fontId="0" fillId="0" borderId="5" xfId="0" applyNumberFormat="1" applyBorder="1"/>
    <xf numFmtId="0" fontId="0" fillId="0" borderId="18" xfId="0" applyBorder="1"/>
    <xf numFmtId="0" fontId="0" fillId="0" borderId="8" xfId="0" applyBorder="1"/>
    <xf numFmtId="9" fontId="0" fillId="0" borderId="17" xfId="0" applyNumberFormat="1" applyBorder="1"/>
    <xf numFmtId="165" fontId="0" fillId="0" borderId="0" xfId="2" applyNumberFormat="1" applyFont="1" applyBorder="1"/>
    <xf numFmtId="165" fontId="0" fillId="0" borderId="5" xfId="2" applyNumberFormat="1" applyFont="1" applyBorder="1"/>
    <xf numFmtId="165" fontId="0" fillId="0" borderId="7" xfId="2" applyNumberFormat="1" applyFont="1" applyBorder="1"/>
    <xf numFmtId="0" fontId="0" fillId="0" borderId="14" xfId="0" applyBorder="1"/>
    <xf numFmtId="0" fontId="0" fillId="0" borderId="21" xfId="0" applyBorder="1"/>
    <xf numFmtId="0" fontId="0" fillId="0" borderId="15" xfId="0" applyBorder="1"/>
    <xf numFmtId="0" fontId="7" fillId="0" borderId="16" xfId="0" applyFont="1" applyBorder="1"/>
    <xf numFmtId="168" fontId="0" fillId="0" borderId="0" xfId="1" applyNumberFormat="1" applyFont="1" applyBorder="1"/>
    <xf numFmtId="168" fontId="0" fillId="0" borderId="7" xfId="1" applyNumberFormat="1" applyFont="1" applyBorder="1"/>
    <xf numFmtId="168" fontId="0" fillId="0" borderId="8" xfId="1" applyNumberFormat="1" applyFont="1" applyBorder="1"/>
    <xf numFmtId="168" fontId="0" fillId="0" borderId="5" xfId="1" applyNumberFormat="1" applyFont="1" applyBorder="1"/>
    <xf numFmtId="168" fontId="0" fillId="0" borderId="17" xfId="1" applyNumberFormat="1" applyFont="1" applyBorder="1"/>
    <xf numFmtId="0" fontId="7" fillId="0" borderId="4" xfId="0" applyFont="1" applyBorder="1"/>
    <xf numFmtId="0" fontId="7" fillId="0" borderId="7" xfId="0" applyFont="1" applyBorder="1"/>
    <xf numFmtId="165" fontId="0" fillId="0" borderId="0" xfId="2" applyNumberFormat="1" applyFont="1" applyFill="1" applyBorder="1"/>
    <xf numFmtId="168" fontId="0" fillId="0" borderId="4" xfId="1" applyNumberFormat="1" applyFont="1" applyBorder="1"/>
    <xf numFmtId="168" fontId="0" fillId="0" borderId="16" xfId="1" applyNumberFormat="1" applyFont="1" applyBorder="1"/>
    <xf numFmtId="0" fontId="0" fillId="0" borderId="9" xfId="0" applyBorder="1"/>
    <xf numFmtId="168" fontId="0" fillId="0" borderId="2" xfId="1" applyNumberFormat="1" applyFont="1" applyBorder="1"/>
    <xf numFmtId="168" fontId="0" fillId="0" borderId="3" xfId="1" applyNumberFormat="1" applyFont="1" applyBorder="1"/>
    <xf numFmtId="0" fontId="0" fillId="0" borderId="2" xfId="0" applyBorder="1" applyAlignment="1">
      <alignment horizontal="center" wrapText="1"/>
    </xf>
    <xf numFmtId="0" fontId="0" fillId="0" borderId="3" xfId="0" applyBorder="1" applyAlignment="1">
      <alignment horizontal="center" wrapText="1"/>
    </xf>
    <xf numFmtId="0" fontId="0" fillId="0" borderId="0" xfId="0" quotePrefix="1" applyAlignment="1">
      <alignment wrapText="1"/>
    </xf>
    <xf numFmtId="0" fontId="0" fillId="0" borderId="0" xfId="0" quotePrefix="1"/>
    <xf numFmtId="168" fontId="0" fillId="0" borderId="9" xfId="1" applyNumberFormat="1" applyFont="1" applyBorder="1"/>
    <xf numFmtId="0" fontId="0" fillId="0" borderId="2" xfId="0" applyBorder="1" applyAlignment="1">
      <alignment horizontal="right"/>
    </xf>
    <xf numFmtId="0" fontId="0" fillId="0" borderId="3" xfId="0" applyBorder="1" applyAlignment="1">
      <alignment horizontal="right"/>
    </xf>
    <xf numFmtId="0" fontId="7" fillId="6" borderId="6" xfId="0" applyFont="1" applyFill="1" applyBorder="1" applyAlignment="1">
      <alignment horizontal="center"/>
    </xf>
    <xf numFmtId="171" fontId="0" fillId="0" borderId="5" xfId="0" applyNumberFormat="1" applyBorder="1"/>
    <xf numFmtId="171" fontId="0" fillId="0" borderId="17" xfId="0" applyNumberFormat="1" applyBorder="1"/>
    <xf numFmtId="165" fontId="0" fillId="0" borderId="20" xfId="2" applyNumberFormat="1" applyFont="1" applyBorder="1"/>
    <xf numFmtId="0" fontId="0" fillId="7" borderId="0" xfId="0" applyFill="1"/>
    <xf numFmtId="0" fontId="19" fillId="0" borderId="0" xfId="0" applyFont="1"/>
    <xf numFmtId="0" fontId="17" fillId="0" borderId="0" xfId="0" applyFont="1" applyAlignment="1">
      <alignment horizontal="center"/>
    </xf>
    <xf numFmtId="0" fontId="20" fillId="0" borderId="0" xfId="0" applyFont="1" applyAlignment="1">
      <alignment horizontal="center"/>
    </xf>
    <xf numFmtId="0" fontId="2" fillId="0" borderId="6" xfId="0" applyFont="1" applyBorder="1"/>
    <xf numFmtId="3" fontId="21" fillId="9" borderId="0" xfId="0" applyNumberFormat="1" applyFont="1" applyFill="1" applyAlignment="1">
      <alignment horizontal="right" vertical="center" wrapText="1"/>
    </xf>
    <xf numFmtId="10" fontId="21" fillId="9" borderId="0" xfId="0" applyNumberFormat="1" applyFont="1" applyFill="1" applyAlignment="1">
      <alignment horizontal="right" vertical="center" wrapText="1"/>
    </xf>
    <xf numFmtId="4" fontId="21" fillId="9" borderId="0" xfId="0" applyNumberFormat="1" applyFont="1" applyFill="1" applyAlignment="1">
      <alignment horizontal="right" vertical="center" wrapText="1"/>
    </xf>
    <xf numFmtId="0" fontId="17" fillId="0" borderId="0" xfId="0" applyFont="1"/>
    <xf numFmtId="0" fontId="21" fillId="9" borderId="0" xfId="0" applyFont="1" applyFill="1" applyAlignment="1">
      <alignment horizontal="right" vertical="center" wrapText="1"/>
    </xf>
    <xf numFmtId="164" fontId="0" fillId="0" borderId="6" xfId="0" applyNumberFormat="1" applyBorder="1"/>
    <xf numFmtId="167" fontId="0" fillId="0" borderId="6" xfId="0" applyNumberFormat="1" applyBorder="1" applyAlignment="1">
      <alignment horizontal="right"/>
    </xf>
    <xf numFmtId="164" fontId="0" fillId="0" borderId="6" xfId="3" applyNumberFormat="1" applyFont="1" applyBorder="1" applyAlignment="1">
      <alignment horizontal="right"/>
    </xf>
    <xf numFmtId="164" fontId="0" fillId="0" borderId="6" xfId="3" applyNumberFormat="1" applyFont="1" applyFill="1" applyBorder="1" applyAlignment="1">
      <alignment horizontal="right"/>
    </xf>
    <xf numFmtId="0" fontId="0" fillId="0" borderId="6" xfId="0" applyBorder="1" applyAlignment="1">
      <alignment horizontal="left"/>
    </xf>
    <xf numFmtId="0" fontId="18" fillId="7" borderId="6" xfId="0" applyFont="1" applyFill="1" applyBorder="1" applyAlignment="1">
      <alignment horizontal="left"/>
    </xf>
    <xf numFmtId="164" fontId="18" fillId="7" borderId="6" xfId="0" applyNumberFormat="1" applyFont="1" applyFill="1" applyBorder="1"/>
    <xf numFmtId="0" fontId="18" fillId="7" borderId="6" xfId="0" applyFont="1" applyFill="1" applyBorder="1" applyAlignment="1">
      <alignment horizontal="right"/>
    </xf>
    <xf numFmtId="0" fontId="10" fillId="0" borderId="4" xfId="0" applyFont="1" applyBorder="1"/>
    <xf numFmtId="166" fontId="0" fillId="0" borderId="0" xfId="0" applyNumberFormat="1"/>
    <xf numFmtId="10" fontId="21" fillId="9" borderId="5" xfId="0" applyNumberFormat="1" applyFont="1" applyFill="1" applyBorder="1" applyAlignment="1">
      <alignment horizontal="right" vertical="center" wrapText="1"/>
    </xf>
    <xf numFmtId="0" fontId="14" fillId="0" borderId="2" xfId="0" applyFont="1" applyBorder="1"/>
    <xf numFmtId="0" fontId="15" fillId="0" borderId="2" xfId="0" applyFont="1" applyBorder="1"/>
    <xf numFmtId="3" fontId="21" fillId="9" borderId="5" xfId="0" applyNumberFormat="1" applyFont="1" applyFill="1" applyBorder="1" applyAlignment="1">
      <alignment horizontal="right" vertical="center" wrapText="1"/>
    </xf>
    <xf numFmtId="168" fontId="0" fillId="0" borderId="0" xfId="0" applyNumberFormat="1"/>
    <xf numFmtId="0" fontId="22" fillId="0" borderId="4" xfId="0" applyFont="1" applyBorder="1" applyAlignment="1">
      <alignment horizontal="center"/>
    </xf>
    <xf numFmtId="0" fontId="22" fillId="0" borderId="0" xfId="0" applyFont="1" applyAlignment="1">
      <alignment horizontal="center"/>
    </xf>
    <xf numFmtId="17" fontId="0" fillId="0" borderId="0" xfId="0" applyNumberFormat="1" applyAlignment="1">
      <alignment horizontal="right"/>
    </xf>
    <xf numFmtId="165" fontId="0" fillId="0" borderId="0" xfId="2" applyNumberFormat="1" applyFont="1" applyFill="1" applyBorder="1" applyAlignment="1">
      <alignment horizontal="right"/>
    </xf>
    <xf numFmtId="165" fontId="17" fillId="0" borderId="0" xfId="0" applyNumberFormat="1" applyFont="1" applyAlignment="1">
      <alignment horizontal="center"/>
    </xf>
    <xf numFmtId="165" fontId="3" fillId="5" borderId="0" xfId="0" applyNumberFormat="1" applyFont="1" applyFill="1"/>
    <xf numFmtId="170" fontId="0" fillId="0" borderId="8" xfId="0" applyNumberFormat="1" applyBorder="1"/>
    <xf numFmtId="43" fontId="0" fillId="0" borderId="0" xfId="1" applyFont="1" applyBorder="1"/>
    <xf numFmtId="0" fontId="20" fillId="0" borderId="5" xfId="0" applyFont="1" applyBorder="1" applyAlignment="1">
      <alignment horizontal="center"/>
    </xf>
    <xf numFmtId="0" fontId="23" fillId="0" borderId="0" xfId="0" applyFont="1"/>
    <xf numFmtId="164" fontId="0" fillId="0" borderId="0" xfId="3" applyNumberFormat="1" applyFont="1"/>
    <xf numFmtId="0" fontId="7" fillId="0" borderId="0" xfId="0" applyFont="1" applyAlignment="1">
      <alignment horizontal="center"/>
    </xf>
    <xf numFmtId="0" fontId="10" fillId="0" borderId="0" xfId="0" applyFont="1"/>
    <xf numFmtId="168" fontId="0" fillId="0" borderId="0" xfId="1" applyNumberFormat="1" applyFont="1" applyFill="1" applyBorder="1"/>
    <xf numFmtId="164" fontId="17" fillId="0" borderId="2" xfId="0" applyNumberFormat="1" applyFont="1" applyBorder="1"/>
    <xf numFmtId="0" fontId="17" fillId="0" borderId="0" xfId="0" applyFont="1" applyAlignment="1">
      <alignment horizontal="right"/>
    </xf>
    <xf numFmtId="3" fontId="0" fillId="0" borderId="6" xfId="0" applyNumberFormat="1" applyBorder="1"/>
    <xf numFmtId="168" fontId="0" fillId="0" borderId="0" xfId="1" applyNumberFormat="1" applyFont="1"/>
    <xf numFmtId="43" fontId="0" fillId="0" borderId="0" xfId="1" applyFont="1"/>
    <xf numFmtId="0" fontId="8" fillId="0" borderId="0" xfId="0" applyFont="1"/>
    <xf numFmtId="43" fontId="0" fillId="0" borderId="2" xfId="0" applyNumberFormat="1" applyBorder="1"/>
    <xf numFmtId="170" fontId="0" fillId="0" borderId="6" xfId="0" applyNumberFormat="1" applyBorder="1"/>
    <xf numFmtId="172" fontId="0" fillId="0" borderId="6" xfId="0" applyNumberFormat="1" applyBorder="1"/>
    <xf numFmtId="0" fontId="0" fillId="0" borderId="18" xfId="0" applyBorder="1" applyAlignment="1">
      <alignment horizontal="right"/>
    </xf>
    <xf numFmtId="0" fontId="0" fillId="6" borderId="1" xfId="0" applyFill="1" applyBorder="1"/>
    <xf numFmtId="0" fontId="0" fillId="6" borderId="2" xfId="0" applyFill="1" applyBorder="1"/>
    <xf numFmtId="0" fontId="0" fillId="6" borderId="3" xfId="0" applyFill="1" applyBorder="1"/>
    <xf numFmtId="0" fontId="0" fillId="6" borderId="4" xfId="0" applyFill="1" applyBorder="1"/>
    <xf numFmtId="0" fontId="17" fillId="6" borderId="7" xfId="0" applyFont="1" applyFill="1" applyBorder="1"/>
    <xf numFmtId="0" fontId="0" fillId="6" borderId="0" xfId="0" applyFill="1"/>
    <xf numFmtId="0" fontId="0" fillId="6" borderId="5" xfId="0" applyFill="1" applyBorder="1"/>
    <xf numFmtId="166" fontId="0" fillId="6" borderId="0" xfId="1" applyNumberFormat="1" applyFont="1" applyFill="1" applyBorder="1"/>
    <xf numFmtId="0" fontId="0" fillId="6" borderId="0" xfId="0" applyFill="1" applyAlignment="1">
      <alignment horizontal="right"/>
    </xf>
    <xf numFmtId="0" fontId="0" fillId="6" borderId="16" xfId="0" applyFill="1" applyBorder="1"/>
    <xf numFmtId="0" fontId="0" fillId="6" borderId="7" xfId="0" applyFill="1" applyBorder="1"/>
    <xf numFmtId="0" fontId="0" fillId="6" borderId="17" xfId="0" applyFill="1" applyBorder="1"/>
    <xf numFmtId="165" fontId="0" fillId="0" borderId="8" xfId="2" applyNumberFormat="1" applyFont="1" applyBorder="1"/>
    <xf numFmtId="165" fontId="0" fillId="0" borderId="9" xfId="2" applyNumberFormat="1" applyFont="1" applyBorder="1"/>
    <xf numFmtId="173" fontId="0" fillId="0" borderId="20" xfId="0" applyNumberFormat="1" applyBorder="1"/>
    <xf numFmtId="9" fontId="0" fillId="0" borderId="7" xfId="3" applyFont="1" applyBorder="1"/>
    <xf numFmtId="9" fontId="0" fillId="0" borderId="17" xfId="3" applyFont="1" applyBorder="1"/>
    <xf numFmtId="43" fontId="0" fillId="0" borderId="0" xfId="0" applyNumberFormat="1"/>
    <xf numFmtId="168" fontId="0" fillId="0" borderId="7" xfId="1" applyNumberFormat="1" applyFont="1" applyBorder="1" applyAlignment="1">
      <alignment horizontal="right"/>
    </xf>
    <xf numFmtId="0" fontId="20" fillId="0" borderId="0" xfId="0" applyFont="1"/>
    <xf numFmtId="43" fontId="8" fillId="0" borderId="0" xfId="0" applyNumberFormat="1" applyFont="1"/>
    <xf numFmtId="0" fontId="18" fillId="7" borderId="0" xfId="0" applyFont="1" applyFill="1"/>
    <xf numFmtId="0" fontId="0" fillId="10" borderId="0" xfId="0" applyFill="1" applyAlignment="1">
      <alignment horizontal="right"/>
    </xf>
    <xf numFmtId="166" fontId="0" fillId="10" borderId="0" xfId="1" applyNumberFormat="1" applyFont="1" applyFill="1"/>
    <xf numFmtId="164" fontId="0" fillId="10" borderId="0" xfId="3" applyNumberFormat="1" applyFont="1" applyFill="1"/>
    <xf numFmtId="164" fontId="0" fillId="10" borderId="0" xfId="3" applyNumberFormat="1" applyFont="1" applyFill="1" applyAlignment="1">
      <alignment horizontal="right"/>
    </xf>
    <xf numFmtId="0" fontId="7" fillId="0" borderId="18" xfId="0" applyFont="1" applyBorder="1" applyAlignment="1">
      <alignment horizontal="center"/>
    </xf>
    <xf numFmtId="0" fontId="7" fillId="0" borderId="9" xfId="0" applyFont="1" applyBorder="1" applyAlignment="1">
      <alignment horizontal="center"/>
    </xf>
    <xf numFmtId="0" fontId="20" fillId="0" borderId="0" xfId="0" applyFont="1" applyAlignment="1">
      <alignment horizontal="center"/>
    </xf>
    <xf numFmtId="0" fontId="7" fillId="0" borderId="0" xfId="0" applyFont="1" applyAlignment="1">
      <alignment horizontal="left"/>
    </xf>
    <xf numFmtId="0" fontId="5" fillId="3" borderId="6" xfId="0" applyFont="1" applyFill="1" applyBorder="1" applyAlignment="1">
      <alignment horizontal="center" wrapText="1"/>
    </xf>
    <xf numFmtId="0" fontId="2" fillId="3" borderId="6" xfId="0" applyFont="1" applyFill="1" applyBorder="1"/>
    <xf numFmtId="0" fontId="2" fillId="0" borderId="6" xfId="0" applyFont="1" applyBorder="1"/>
    <xf numFmtId="0" fontId="7" fillId="0" borderId="8" xfId="0" applyFont="1" applyBorder="1" applyAlignment="1">
      <alignment horizontal="left"/>
    </xf>
    <xf numFmtId="0" fontId="5" fillId="0" borderId="6" xfId="0" applyFont="1" applyBorder="1"/>
    <xf numFmtId="0" fontId="2" fillId="0" borderId="6" xfId="0" applyFont="1" applyBorder="1" applyAlignment="1">
      <alignment horizontal="center"/>
    </xf>
    <xf numFmtId="0" fontId="25" fillId="0" borderId="24" xfId="0" applyFont="1" applyBorder="1" applyAlignment="1">
      <alignment vertical="top" wrapText="1"/>
    </xf>
    <xf numFmtId="0" fontId="7" fillId="0" borderId="18" xfId="0" applyFont="1" applyBorder="1" applyAlignment="1">
      <alignment horizontal="center"/>
    </xf>
    <xf numFmtId="0" fontId="7" fillId="0" borderId="9" xfId="0" applyFont="1" applyBorder="1" applyAlignment="1">
      <alignment horizontal="center"/>
    </xf>
    <xf numFmtId="0" fontId="7" fillId="0" borderId="8" xfId="0" applyFont="1" applyBorder="1" applyAlignment="1">
      <alignment horizontal="center"/>
    </xf>
    <xf numFmtId="0" fontId="7" fillId="0" borderId="1" xfId="0" applyFont="1" applyBorder="1" applyAlignment="1">
      <alignment horizontal="center" wrapText="1"/>
    </xf>
    <xf numFmtId="0" fontId="7" fillId="0" borderId="16" xfId="0" applyFont="1" applyBorder="1" applyAlignment="1">
      <alignment horizontal="center" wrapText="1"/>
    </xf>
    <xf numFmtId="0" fontId="7" fillId="0" borderId="2" xfId="0" applyFont="1" applyBorder="1" applyAlignment="1">
      <alignment horizontal="center" wrapText="1"/>
    </xf>
    <xf numFmtId="0" fontId="7" fillId="0" borderId="7" xfId="0" applyFont="1" applyBorder="1" applyAlignment="1">
      <alignment horizontal="center" wrapText="1"/>
    </xf>
    <xf numFmtId="0" fontId="7" fillId="0" borderId="3" xfId="0" applyFont="1" applyBorder="1" applyAlignment="1">
      <alignment horizontal="center" wrapText="1"/>
    </xf>
    <xf numFmtId="0" fontId="7" fillId="0" borderId="17" xfId="0" applyFont="1" applyBorder="1" applyAlignment="1">
      <alignment horizontal="center" wrapText="1"/>
    </xf>
    <xf numFmtId="0" fontId="7" fillId="0" borderId="0" xfId="0" applyFont="1" applyAlignment="1">
      <alignment horizontal="center" wrapText="1"/>
    </xf>
    <xf numFmtId="0" fontId="0" fillId="6" borderId="1" xfId="0" applyFill="1" applyBorder="1" applyAlignment="1">
      <alignment wrapText="1"/>
    </xf>
    <xf numFmtId="0" fontId="0" fillId="6" borderId="2" xfId="0" applyFill="1" applyBorder="1" applyAlignment="1">
      <alignment wrapText="1"/>
    </xf>
    <xf numFmtId="0" fontId="0" fillId="6" borderId="3" xfId="0" applyFill="1" applyBorder="1" applyAlignment="1">
      <alignment wrapText="1"/>
    </xf>
    <xf numFmtId="0" fontId="0" fillId="6" borderId="16" xfId="0" applyFill="1" applyBorder="1" applyAlignment="1">
      <alignment wrapText="1"/>
    </xf>
    <xf numFmtId="0" fontId="0" fillId="6" borderId="7" xfId="0" applyFill="1" applyBorder="1" applyAlignment="1">
      <alignment wrapText="1"/>
    </xf>
    <xf numFmtId="0" fontId="0" fillId="6" borderId="17" xfId="0" applyFill="1" applyBorder="1" applyAlignment="1">
      <alignment wrapText="1"/>
    </xf>
    <xf numFmtId="0" fontId="7" fillId="0" borderId="5" xfId="0" applyFont="1" applyBorder="1" applyAlignment="1">
      <alignment horizontal="center" wrapText="1"/>
    </xf>
    <xf numFmtId="0" fontId="0" fillId="6" borderId="18" xfId="0" applyFill="1" applyBorder="1"/>
    <xf numFmtId="0" fontId="0" fillId="6" borderId="8" xfId="0" applyFill="1" applyBorder="1"/>
    <xf numFmtId="0" fontId="0" fillId="6" borderId="9" xfId="0" applyFill="1" applyBorder="1"/>
    <xf numFmtId="0" fontId="0" fillId="0" borderId="4" xfId="0" applyBorder="1" applyAlignment="1">
      <alignment horizontal="center" vertical="center" wrapText="1"/>
    </xf>
    <xf numFmtId="0" fontId="0" fillId="0" borderId="16" xfId="0" applyBorder="1" applyAlignment="1">
      <alignment horizontal="center" vertical="center" wrapText="1"/>
    </xf>
    <xf numFmtId="0" fontId="0" fillId="6" borderId="1" xfId="0" applyFill="1" applyBorder="1" applyAlignment="1">
      <alignment horizontal="center" wrapText="1"/>
    </xf>
    <xf numFmtId="0" fontId="0" fillId="6" borderId="2" xfId="0" applyFill="1" applyBorder="1" applyAlignment="1">
      <alignment horizontal="center" wrapText="1"/>
    </xf>
    <xf numFmtId="0" fontId="0" fillId="6" borderId="3" xfId="0" applyFill="1" applyBorder="1" applyAlignment="1">
      <alignment horizontal="center" wrapText="1"/>
    </xf>
    <xf numFmtId="0" fontId="0" fillId="6" borderId="16" xfId="0" applyFill="1" applyBorder="1" applyAlignment="1">
      <alignment horizontal="center" wrapText="1"/>
    </xf>
    <xf numFmtId="0" fontId="0" fillId="6" borderId="7" xfId="0" applyFill="1" applyBorder="1" applyAlignment="1">
      <alignment horizontal="center" wrapText="1"/>
    </xf>
    <xf numFmtId="0" fontId="0" fillId="6" borderId="17" xfId="0" applyFill="1" applyBorder="1" applyAlignment="1">
      <alignment horizontal="center" wrapText="1"/>
    </xf>
    <xf numFmtId="0" fontId="0" fillId="0" borderId="1" xfId="0" quotePrefix="1" applyBorder="1" applyAlignment="1">
      <alignment horizontal="left" wrapText="1" indent="2"/>
    </xf>
    <xf numFmtId="0" fontId="0" fillId="0" borderId="2" xfId="0" quotePrefix="1" applyBorder="1" applyAlignment="1">
      <alignment horizontal="left" wrapText="1" indent="2"/>
    </xf>
    <xf numFmtId="0" fontId="0" fillId="0" borderId="3" xfId="0" quotePrefix="1" applyBorder="1" applyAlignment="1">
      <alignment horizontal="left" wrapText="1" indent="2"/>
    </xf>
    <xf numFmtId="0" fontId="0" fillId="0" borderId="16" xfId="0" quotePrefix="1" applyBorder="1" applyAlignment="1">
      <alignment horizontal="left" wrapText="1" indent="2"/>
    </xf>
    <xf numFmtId="0" fontId="0" fillId="0" borderId="7" xfId="0" quotePrefix="1" applyBorder="1" applyAlignment="1">
      <alignment horizontal="left" wrapText="1" indent="2"/>
    </xf>
    <xf numFmtId="0" fontId="0" fillId="0" borderId="17" xfId="0" quotePrefix="1" applyBorder="1" applyAlignment="1">
      <alignment horizontal="left" wrapText="1" indent="2"/>
    </xf>
    <xf numFmtId="0" fontId="7" fillId="0" borderId="4" xfId="0" applyFont="1" applyBorder="1" applyAlignment="1">
      <alignment horizontal="center" wrapText="1"/>
    </xf>
    <xf numFmtId="9" fontId="0" fillId="0" borderId="22" xfId="0" applyNumberFormat="1" applyBorder="1" applyAlignment="1">
      <alignment horizontal="center"/>
    </xf>
    <xf numFmtId="9" fontId="0" fillId="0" borderId="20" xfId="0" applyNumberFormat="1" applyBorder="1" applyAlignment="1">
      <alignment horizontal="center"/>
    </xf>
    <xf numFmtId="0" fontId="7" fillId="8" borderId="18" xfId="0" applyFont="1" applyFill="1" applyBorder="1" applyAlignment="1">
      <alignment horizontal="center"/>
    </xf>
    <xf numFmtId="0" fontId="7" fillId="8" borderId="8" xfId="0" applyFont="1" applyFill="1" applyBorder="1" applyAlignment="1">
      <alignment horizontal="center"/>
    </xf>
    <xf numFmtId="0" fontId="7" fillId="8" borderId="9" xfId="0" applyFont="1" applyFill="1" applyBorder="1" applyAlignment="1">
      <alignment horizontal="center"/>
    </xf>
    <xf numFmtId="0" fontId="0" fillId="0" borderId="4" xfId="0" quotePrefix="1" applyBorder="1" applyAlignment="1">
      <alignment horizontal="left" wrapText="1" indent="2"/>
    </xf>
    <xf numFmtId="0" fontId="0" fillId="0" borderId="0" xfId="0" quotePrefix="1" applyAlignment="1">
      <alignment horizontal="left" wrapText="1" indent="2"/>
    </xf>
    <xf numFmtId="0" fontId="0" fillId="0" borderId="5" xfId="0" quotePrefix="1" applyBorder="1" applyAlignment="1">
      <alignment horizontal="left" wrapText="1" indent="2"/>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16" xfId="0" applyBorder="1" applyAlignment="1">
      <alignment horizontal="left" vertical="center" wrapText="1"/>
    </xf>
    <xf numFmtId="0" fontId="0" fillId="0" borderId="7" xfId="0" applyBorder="1" applyAlignment="1">
      <alignment horizontal="left" vertical="center" wrapText="1"/>
    </xf>
    <xf numFmtId="0" fontId="0" fillId="0" borderId="17" xfId="0" applyBorder="1" applyAlignment="1">
      <alignment horizontal="left" vertical="center" wrapText="1"/>
    </xf>
    <xf numFmtId="0" fontId="0" fillId="6" borderId="18"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0" borderId="0" xfId="0" applyBorder="1"/>
    <xf numFmtId="0" fontId="0" fillId="0" borderId="0" xfId="0" applyFill="1"/>
    <xf numFmtId="9" fontId="0" fillId="0" borderId="0" xfId="0" applyNumberFormat="1" applyFill="1"/>
    <xf numFmtId="0" fontId="14" fillId="0" borderId="2" xfId="0" applyFont="1" applyFill="1" applyBorder="1"/>
    <xf numFmtId="0" fontId="22" fillId="0" borderId="0" xfId="0" applyFont="1" applyFill="1" applyAlignment="1">
      <alignment horizontal="center"/>
    </xf>
    <xf numFmtId="0" fontId="0" fillId="0" borderId="0" xfId="0" applyFill="1" applyAlignment="1">
      <alignment horizontal="right"/>
    </xf>
    <xf numFmtId="0" fontId="0" fillId="0" borderId="7" xfId="0" applyFill="1" applyBorder="1"/>
    <xf numFmtId="0" fontId="0" fillId="0" borderId="0" xfId="0" applyFill="1" applyBorder="1"/>
    <xf numFmtId="10" fontId="11" fillId="0" borderId="0" xfId="0" applyNumberFormat="1" applyFont="1" applyFill="1"/>
    <xf numFmtId="165" fontId="0" fillId="2" borderId="18" xfId="2" applyNumberFormat="1" applyFont="1" applyFill="1" applyBorder="1"/>
    <xf numFmtId="165" fontId="0" fillId="2" borderId="18" xfId="2" applyNumberFormat="1" applyFont="1" applyFill="1" applyBorder="1" applyAlignment="1">
      <alignment horizontal="right"/>
    </xf>
    <xf numFmtId="165" fontId="0" fillId="2" borderId="9" xfId="2" applyNumberFormat="1" applyFont="1" applyFill="1" applyBorder="1"/>
    <xf numFmtId="165" fontId="0" fillId="0" borderId="23" xfId="2" applyNumberFormat="1" applyFont="1" applyFill="1" applyBorder="1"/>
    <xf numFmtId="0" fontId="7" fillId="0" borderId="23" xfId="0" applyFont="1" applyFill="1" applyBorder="1" applyAlignment="1">
      <alignment horizontal="center"/>
    </xf>
    <xf numFmtId="165" fontId="0" fillId="0" borderId="23" xfId="2" applyNumberFormat="1" applyFont="1" applyFill="1" applyBorder="1" applyAlignment="1">
      <alignment horizontal="right"/>
    </xf>
    <xf numFmtId="0" fontId="0" fillId="0" borderId="2" xfId="0" applyFill="1" applyBorder="1"/>
    <xf numFmtId="3" fontId="21" fillId="0" borderId="0" xfId="0" applyNumberFormat="1" applyFont="1" applyFill="1" applyAlignment="1">
      <alignment horizontal="right" vertical="center" wrapText="1"/>
    </xf>
    <xf numFmtId="10" fontId="21" fillId="0" borderId="0" xfId="0" applyNumberFormat="1" applyFont="1" applyFill="1" applyAlignment="1">
      <alignment horizontal="right" vertical="center" wrapText="1"/>
    </xf>
    <xf numFmtId="0" fontId="20" fillId="0" borderId="0" xfId="0" applyFont="1" applyFill="1" applyAlignment="1">
      <alignment horizontal="center"/>
    </xf>
    <xf numFmtId="0" fontId="10" fillId="0" borderId="0" xfId="0" applyFont="1" applyFill="1"/>
    <xf numFmtId="0" fontId="21" fillId="0" borderId="0" xfId="0" applyFont="1" applyFill="1" applyAlignment="1">
      <alignment horizontal="right" vertical="center" wrapText="1"/>
    </xf>
    <xf numFmtId="0" fontId="0" fillId="0" borderId="6" xfId="1" applyNumberFormat="1" applyFont="1" applyBorder="1"/>
    <xf numFmtId="167" fontId="19" fillId="0" borderId="0" xfId="0" applyNumberFormat="1" applyFont="1"/>
  </cellXfs>
  <cellStyles count="4">
    <cellStyle name="Comma" xfId="1" builtinId="3"/>
    <cellStyle name="Currency" xfId="2" builtinId="4"/>
    <cellStyle name="Normal" xfId="0" builtinId="0"/>
    <cellStyle name="Percent" xfId="3" builtinId="5"/>
  </cellStyles>
  <dxfs count="24">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SupportingPropertyBag" Target="richData/rdsupporting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SupportingPropertyBagStructure" Target="richData/rdsupportingpropertybagstructure.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ichStyles" Target="richData/richStyles.xml"/></Relationships>
</file>

<file path=xl/drawings/drawing1.xml><?xml version="1.0" encoding="utf-8"?>
<xdr:wsDr xmlns:xdr="http://schemas.openxmlformats.org/drawingml/2006/spreadsheetDrawing" xmlns:a="http://schemas.openxmlformats.org/drawingml/2006/main">
  <xdr:twoCellAnchor>
    <xdr:from>
      <xdr:col>6</xdr:col>
      <xdr:colOff>88900</xdr:colOff>
      <xdr:row>11</xdr:row>
      <xdr:rowOff>12700</xdr:rowOff>
    </xdr:from>
    <xdr:to>
      <xdr:col>6</xdr:col>
      <xdr:colOff>850900</xdr:colOff>
      <xdr:row>14</xdr:row>
      <xdr:rowOff>152400</xdr:rowOff>
    </xdr:to>
    <xdr:cxnSp macro="">
      <xdr:nvCxnSpPr>
        <xdr:cNvPr id="11" name="Straight Arrow Connector 10">
          <a:extLst>
            <a:ext uri="{FF2B5EF4-FFF2-40B4-BE49-F238E27FC236}">
              <a16:creationId xmlns:a16="http://schemas.microsoft.com/office/drawing/2014/main" id="{46F50181-8DC7-4B72-A291-9785893F2EBF}"/>
            </a:ext>
          </a:extLst>
        </xdr:cNvPr>
        <xdr:cNvCxnSpPr/>
      </xdr:nvCxnSpPr>
      <xdr:spPr>
        <a:xfrm flipV="1">
          <a:off x="5918200" y="40124380"/>
          <a:ext cx="762000" cy="734060"/>
        </a:xfrm>
        <a:prstGeom prst="straightConnector1">
          <a:avLst/>
        </a:prstGeom>
        <a:ln w="158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25400</xdr:colOff>
      <xdr:row>18</xdr:row>
      <xdr:rowOff>38100</xdr:rowOff>
    </xdr:from>
    <xdr:to>
      <xdr:col>12</xdr:col>
      <xdr:colOff>787400</xdr:colOff>
      <xdr:row>21</xdr:row>
      <xdr:rowOff>177800</xdr:rowOff>
    </xdr:to>
    <xdr:cxnSp macro="">
      <xdr:nvCxnSpPr>
        <xdr:cNvPr id="12" name="Straight Arrow Connector 11">
          <a:extLst>
            <a:ext uri="{FF2B5EF4-FFF2-40B4-BE49-F238E27FC236}">
              <a16:creationId xmlns:a16="http://schemas.microsoft.com/office/drawing/2014/main" id="{57250BB3-866A-49DD-ACA9-A8BEE335042E}"/>
            </a:ext>
          </a:extLst>
        </xdr:cNvPr>
        <xdr:cNvCxnSpPr/>
      </xdr:nvCxnSpPr>
      <xdr:spPr>
        <a:xfrm flipV="1">
          <a:off x="11501120" y="41536620"/>
          <a:ext cx="762000" cy="734060"/>
        </a:xfrm>
        <a:prstGeom prst="straightConnector1">
          <a:avLst/>
        </a:prstGeom>
        <a:ln w="158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965200</xdr:colOff>
      <xdr:row>29</xdr:row>
      <xdr:rowOff>190500</xdr:rowOff>
    </xdr:from>
    <xdr:to>
      <xdr:col>16</xdr:col>
      <xdr:colOff>241300</xdr:colOff>
      <xdr:row>33</xdr:row>
      <xdr:rowOff>25400</xdr:rowOff>
    </xdr:to>
    <xdr:sp macro="" textlink="">
      <xdr:nvSpPr>
        <xdr:cNvPr id="18" name="Right Brace 17">
          <a:extLst>
            <a:ext uri="{FF2B5EF4-FFF2-40B4-BE49-F238E27FC236}">
              <a16:creationId xmlns:a16="http://schemas.microsoft.com/office/drawing/2014/main" id="{D279EC0F-DF63-48FD-9060-C444AD3D6B43}"/>
            </a:ext>
          </a:extLst>
        </xdr:cNvPr>
        <xdr:cNvSpPr/>
      </xdr:nvSpPr>
      <xdr:spPr>
        <a:xfrm>
          <a:off x="14963140" y="43868340"/>
          <a:ext cx="365760" cy="627380"/>
        </a:xfrm>
        <a:prstGeom prst="rightBrace">
          <a:avLst>
            <a:gd name="adj1" fmla="val 0"/>
            <a:gd name="adj2" fmla="val 25000"/>
          </a:avLst>
        </a:prstGeom>
        <a:ln w="15875">
          <a:solidFill>
            <a:srgbClr val="00B05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15</xdr:col>
      <xdr:colOff>965200</xdr:colOff>
      <xdr:row>29</xdr:row>
      <xdr:rowOff>190500</xdr:rowOff>
    </xdr:from>
    <xdr:to>
      <xdr:col>16</xdr:col>
      <xdr:colOff>241300</xdr:colOff>
      <xdr:row>33</xdr:row>
      <xdr:rowOff>25400</xdr:rowOff>
    </xdr:to>
    <xdr:sp macro="" textlink="">
      <xdr:nvSpPr>
        <xdr:cNvPr id="20" name="Right Brace 19">
          <a:extLst>
            <a:ext uri="{FF2B5EF4-FFF2-40B4-BE49-F238E27FC236}">
              <a16:creationId xmlns:a16="http://schemas.microsoft.com/office/drawing/2014/main" id="{0F62915B-C394-44CB-BBFF-D7B1585DAE4A}"/>
            </a:ext>
          </a:extLst>
        </xdr:cNvPr>
        <xdr:cNvSpPr/>
      </xdr:nvSpPr>
      <xdr:spPr>
        <a:xfrm>
          <a:off x="14963140" y="43868340"/>
          <a:ext cx="365760" cy="627380"/>
        </a:xfrm>
        <a:prstGeom prst="rightBrace">
          <a:avLst>
            <a:gd name="adj1" fmla="val 0"/>
            <a:gd name="adj2" fmla="val 25000"/>
          </a:avLst>
        </a:prstGeom>
        <a:ln w="15875">
          <a:solidFill>
            <a:srgbClr val="00B05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7">
  <rv s="0">
    <v>http://en.wikipedia.org/wiki/Public_domain</v>
    <v>Public domain</v>
  </rv>
  <rv s="0">
    <v>http://es.wikipedia.org/wiki/Adobe_(empresa)</v>
    <v>Wikipedia</v>
  </rv>
  <rv s="1">
    <v>0</v>
    <v>1</v>
  </rv>
  <rv s="2">
    <v>6</v>
    <v>https://www.bing.com/th?id=AMMS_503c684ccc667ad525fe1d703881df2c&amp;qlt=95</v>
    <v>2</v>
    <v>0</v>
    <v>https://www.bing.com/images/search?form=xlimg&amp;q=adobe+systems</v>
    <v>Image of ADOBE INC.</v>
  </rv>
  <rv s="0">
    <v>https://www.bing.com/financeapi/forcetrigger?t=a1mv7w&amp;q=XNAS%3aADBE&amp;form=skydnc</v>
    <v>Learn more on Bing</v>
  </rv>
  <rv s="3">
    <v>en-US</v>
    <v>a1mv7w</v>
    <v>268435456</v>
    <v>1</v>
    <v>Powered by Refinitiv</v>
    <v>0</v>
    <v>ADOBE INC. (XNAS:ADBE)</v>
    <v>3</v>
    <v>4</v>
    <v>Finance</v>
    <v>5</v>
    <v>422.95</v>
    <v>241</v>
    <v>1.5041</v>
    <v>2.16</v>
    <v>4.2720000000000006E-3</v>
    <v>8.7810000000000006E-3</v>
    <v>1.06</v>
    <v>USD</v>
    <v>Adobe Inc. is a global technology company. The Company's products, services and solutions are used around the world to imagine, create, manage, deliver, measure, optimize and engage with content across surfaces and fuel digital experiences. Its segments include Digital Media, Digital Experience, and Publishing and Advertising. The Digital Media segment is centered around Adobe Creative Cloud and Adobe Document Cloud, which include Adobe Express, Adobe Firefly, Photoshop and other products, offering a variety of tools for creative professionals, communicators and other consumers. The Digital Experience segment provides an integrated platform and set of products, services and solutions through Adobe Experience Cloud. The Publishing and Advertising segment contains legacy products and services. In addition, its Adobe GenStudio solution allows businesses to simplify their content supply chain process with generative artificial intelligence (AI) capabilities and intelligent automation.</v>
    <v>31360</v>
    <v>Nasdaq Stock Market</v>
    <v>XNAS</v>
    <v>XNAS</v>
    <v>345 Park Avenue, SAN JOSE, CA, 95110-2704 US</v>
    <v>249.0899</v>
    <v>3</v>
    <v>Software &amp; IT Services</v>
    <v>Stock</v>
    <v>46101.999996932813</v>
    <v>4</v>
    <v>241</v>
    <v>101155096735</v>
    <v>ADOBE INC.</v>
    <v>ADOBE INC.</v>
    <v>242.8</v>
    <v>14.8629</v>
    <v>245.99</v>
    <v>248.15</v>
    <v>249.21</v>
    <v>407636900</v>
    <v>ADBE</v>
    <v>ADOBE INC. (XNAS:ADBE)</v>
    <v>10467284</v>
    <v>6490939</v>
    <v>1997</v>
  </rv>
  <rv s="4">
    <v>5</v>
  </rv>
</rvData>
</file>

<file path=xl/richData/rdrichvaluestructure.xml><?xml version="1.0" encoding="utf-8"?>
<rvStructures xmlns="http://schemas.microsoft.com/office/spreadsheetml/2017/richdata" count="5">
  <s t="_hyperlink">
    <k n="Address" t="s"/>
    <k n="Text" t="s"/>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6">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spbArrays>
  <spbData count="7">
    <spb s="0">
      <v>0</v>
      <v>Name</v>
      <v>LearnMoreOnLink</v>
    </spb>
    <spb s="1">
      <v>0</v>
      <v>0</v>
    </spb>
    <spb s="2">
      <v>0</v>
      <v>0</v>
      <v>0</v>
    </spb>
    <spb s="3">
      <v>1</v>
      <v>2</v>
      <v>2</v>
      <v>2</v>
      <v>2</v>
    </spb>
    <spb s="4">
      <v>1</v>
      <v>2</v>
      <v>2</v>
      <v>1</v>
      <v>3</v>
      <v>1</v>
      <v>4</v>
      <v>1</v>
      <v>1</v>
      <v>5</v>
      <v>5</v>
      <v>6</v>
      <v>7</v>
      <v>1</v>
      <v>1</v>
      <v>1</v>
      <v>5</v>
      <v>8</v>
      <v>9</v>
      <v>10</v>
      <v>5</v>
      <v>1</v>
      <v>1</v>
      <v>6</v>
    </spb>
    <spb s="5">
      <v>at close</v>
      <v>from previous close</v>
      <v>from previous close</v>
      <v>Source: Nasdaq</v>
      <v>GMT</v>
      <v>Delayed 15 minutes</v>
      <v>from close</v>
      <v>from close</v>
    </spb>
    <spb s="6">
      <v>Powered by Refinitiv</v>
    </spb>
  </spbData>
</supportingPropertyBags>
</file>

<file path=xl/richData/rdsupportingpropertybagstructure.xml><?xml version="1.0" encoding="utf-8"?>
<spbStructures xmlns="http://schemas.microsoft.com/office/spreadsheetml/2017/richdata2" count="7">
  <s>
    <k n="^Order" t="spba"/>
    <k n="TitleProperty" t="s"/>
    <k n="SubTitleProperty" t="s"/>
  </s>
  <s>
    <k n="ShowInDotNotation" t="b"/>
    <k n="ShowInAutoComplete" t="b"/>
  </s>
  <s>
    <k n="ShowInCardView" t="b"/>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na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0" formatCode="General"/>
    </x:dxf>
    <x:dxf>
      <x:numFmt numFmtId="4" formatCode="#,##0.00"/>
    </x:dxf>
    <x:dxf>
      <x:numFmt numFmtId="3" formatCode="#,##0"/>
    </x:dxf>
    <x:dxf>
      <x:numFmt numFmtId="14" formatCode="0.00%"/>
    </x:dxf>
    <x:dxf>
      <x:numFmt numFmtId="27" formatCode="m/d/yyyy\ h:mm"/>
    </x:dxf>
    <x:dxf>
      <x:numFmt numFmtId="1" formatCode="0"/>
    </x:dxf>
    <x:dxf>
      <x:numFmt numFmtId="2" formatCode="0.00"/>
    </x:dxf>
  </dxfs>
  <richProperties>
    <rPr n="NumberFormat" t="s"/>
    <rPr n="IsTitleField" t="b"/>
    <rPr n="IsHeroField" t="b"/>
  </richProperties>
  <richStyles>
    <rSty dxfid="0">
      <rpv i="0">_([$$-en-US]* #,##0.00_);_([$$-en-US]* (#,##0.00);_([$$-en-US]* "-"??_);_(@_)</rpv>
    </rSty>
    <rSty dxfid="1">
      <rpv i="0">#,##0.00</rpv>
    </rSty>
    <rSty>
      <rpv i="1">1</rpv>
    </rSty>
    <rSty>
      <rpv i="2">1</rpv>
    </rSty>
    <rSty dxfid="2">
      <rpv i="0">#,##0</rpv>
    </rSty>
    <rSty dxfid="3"/>
    <rSty dxfid="0">
      <rpv i="0">_([$$-en-US]* #,##0_);_([$$-en-US]* (#,##0);_([$$-en-US]* "-"_);_(@_)</rpv>
    </rSty>
    <rSty dxfid="4"/>
    <rSty dxfid="5">
      <rpv i="0">0</rpv>
    </rSty>
    <rSty dxfid="6">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6">
    <wetp:webextensionref xmlns:r="http://schemas.openxmlformats.org/officeDocument/2006/relationships" r:id="rId1"/>
  </wetp:taskpane>
</wetp:taskpanes>
</file>

<file path=xl/webextensions/webextension1.xml><?xml version="1.0" encoding="utf-8"?>
<we:webextension xmlns:we="http://schemas.microsoft.com/office/webextensions/webextension/2010/11" id="{E779EF28-03FB-47E2-9DE0-25FFF6B936CE}">
  <we:reference id="820a9e14-7d6e-411e-8dab-2052777240a0" version="1.0.0.0" store="EXCatalog" storeType="EXCatalog"/>
  <we:alternateReferences/>
  <we:properties/>
  <we:bindings/>
  <we:snapshot xmlns:r="http://schemas.openxmlformats.org/officeDocument/2006/relationships"/>
</we:webextension>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C8EC7-4E0B-481E-A45E-C82A0C2718E9}">
  <sheetPr>
    <tabColor theme="0" tint="-0.499984740745262"/>
  </sheetPr>
  <dimension ref="A1"/>
  <sheetViews>
    <sheetView showGridLines="0" zoomScale="80" zoomScaleNormal="80" workbookViewId="0"/>
  </sheetViews>
  <sheetFormatPr defaultRowHeight="14.4"/>
  <cols>
    <col min="1" max="16384" width="8.88671875" style="97"/>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1F8C1-B552-443B-A34B-012CAC6A7E22}">
  <sheetPr>
    <tabColor theme="9" tint="0.79998168889431442"/>
  </sheetPr>
  <dimension ref="A1:H23"/>
  <sheetViews>
    <sheetView showGridLines="0" tabSelected="1" zoomScale="80" zoomScaleNormal="80" workbookViewId="0"/>
  </sheetViews>
  <sheetFormatPr defaultRowHeight="14.4"/>
  <cols>
    <col min="2" max="2" width="21.44140625" bestFit="1" customWidth="1"/>
    <col min="3" max="3" width="17.33203125" bestFit="1" customWidth="1"/>
    <col min="4" max="4" width="20.5546875" bestFit="1" customWidth="1"/>
    <col min="5" max="5" width="19.6640625" bestFit="1" customWidth="1"/>
    <col min="6" max="6" width="28.5546875" bestFit="1" customWidth="1"/>
    <col min="7" max="7" width="9.33203125" bestFit="1" customWidth="1"/>
  </cols>
  <sheetData>
    <row r="1" spans="1:8">
      <c r="A1" t="e" vm="1">
        <v>#VALUE!</v>
      </c>
    </row>
    <row r="3" spans="1:8">
      <c r="F3" s="26" t="s">
        <v>145</v>
      </c>
    </row>
    <row r="4" spans="1:8">
      <c r="F4" s="138">
        <v>407636900</v>
      </c>
    </row>
    <row r="5" spans="1:8">
      <c r="G5" t="s">
        <v>130</v>
      </c>
    </row>
    <row r="6" spans="1:8">
      <c r="B6" s="58" t="s">
        <v>103</v>
      </c>
      <c r="C6" s="58" t="s">
        <v>164</v>
      </c>
      <c r="D6" s="58" t="s">
        <v>165</v>
      </c>
      <c r="E6" s="58" t="s">
        <v>17</v>
      </c>
      <c r="F6" s="58" t="s">
        <v>104</v>
      </c>
      <c r="G6" s="58" t="s">
        <v>129</v>
      </c>
    </row>
    <row r="7" spans="1:8" ht="15.6">
      <c r="B7" t="s">
        <v>105</v>
      </c>
      <c r="C7" s="132">
        <f>AVERAGE('DCF (Sales)'!C6:C8)</f>
        <v>8.9554790378379309E-2</v>
      </c>
      <c r="D7" s="139">
        <f>AVERAGE('DCF (Sales)'!D6:D8)</f>
        <v>7.7736666666666672</v>
      </c>
      <c r="E7" s="29">
        <f>'DCF (Sales)'!M11</f>
        <v>256835814829.49634</v>
      </c>
      <c r="F7" s="140">
        <f t="shared" ref="F7:F13" si="0">E7/$F$4</f>
        <v>630.06026890474425</v>
      </c>
      <c r="G7" s="166">
        <f>F7*(1-0.4)</f>
        <v>378.03616134284653</v>
      </c>
      <c r="H7" s="98" t="s">
        <v>163</v>
      </c>
    </row>
    <row r="8" spans="1:8" ht="15.6">
      <c r="B8" t="s">
        <v>106</v>
      </c>
      <c r="C8" s="132">
        <f>AVERAGE('DCF (FCF)'!C6:C8)</f>
        <v>9.3431689861966705E-2</v>
      </c>
      <c r="D8" s="139">
        <f>AVERAGE('DCF (FCF)'!D6:D8)</f>
        <v>18.686337972393343</v>
      </c>
      <c r="E8" s="29">
        <f>'DCF (FCF)'!M11</f>
        <v>194462261458.54922</v>
      </c>
      <c r="F8" s="140">
        <f t="shared" si="0"/>
        <v>477.04773895235985</v>
      </c>
      <c r="G8" s="166">
        <f t="shared" ref="G8:G10" si="1">F8*(1-0.4)</f>
        <v>286.2286433714159</v>
      </c>
      <c r="H8" s="98" t="s">
        <v>163</v>
      </c>
    </row>
    <row r="9" spans="1:8" ht="15.6">
      <c r="B9" t="s">
        <v>119</v>
      </c>
      <c r="C9" s="132">
        <f>AVERAGE('DCF (OCF)'!C6:C8)</f>
        <v>9.4419793663836404E-2</v>
      </c>
      <c r="D9" s="139">
        <f>AVERAGE('DCF (OCF)'!D6:D8)</f>
        <v>17.562609396176111</v>
      </c>
      <c r="E9" s="29">
        <f>'DCF (OCF)'!M11</f>
        <v>189496718334.42615</v>
      </c>
      <c r="F9" s="140">
        <f t="shared" si="0"/>
        <v>464.86644936811695</v>
      </c>
      <c r="G9" s="166">
        <f t="shared" si="1"/>
        <v>278.91986962087014</v>
      </c>
      <c r="H9" s="98" t="s">
        <v>163</v>
      </c>
    </row>
    <row r="10" spans="1:8" ht="15.6">
      <c r="B10" t="s">
        <v>107</v>
      </c>
      <c r="C10" s="132">
        <f>AVERAGE('DCF (EPS)'!C6:C8)</f>
        <v>0.1004548519856981</v>
      </c>
      <c r="D10" s="139">
        <f>AVERAGE('DCF (EPS)'!D6:D8)</f>
        <v>20.090970397139625</v>
      </c>
      <c r="E10" s="29">
        <f>'DCF (EPS)'!M11</f>
        <v>157625591689.59915</v>
      </c>
      <c r="F10" s="140">
        <f t="shared" si="0"/>
        <v>386.68136199053413</v>
      </c>
      <c r="G10" s="166">
        <f t="shared" si="1"/>
        <v>232.00881719432047</v>
      </c>
      <c r="H10" s="98" t="s">
        <v>163</v>
      </c>
    </row>
    <row r="11" spans="1:8" ht="15.6">
      <c r="B11" t="s">
        <v>171</v>
      </c>
      <c r="C11" s="1" t="s">
        <v>77</v>
      </c>
      <c r="D11" s="139">
        <f>'Historical Multiples'!D31*(1-'Historical Multiples'!E12)</f>
        <v>6.8091422765077754</v>
      </c>
      <c r="E11" s="29">
        <f>'Historical Multiples'!P31*1000000</f>
        <v>166503956087.44464</v>
      </c>
      <c r="F11" s="140">
        <f t="shared" si="0"/>
        <v>408.46144224785502</v>
      </c>
      <c r="G11" s="166">
        <f>F11</f>
        <v>408.46144224785502</v>
      </c>
      <c r="H11" s="141" t="s">
        <v>162</v>
      </c>
    </row>
    <row r="12" spans="1:8" ht="15.6">
      <c r="B12" t="s">
        <v>172</v>
      </c>
      <c r="C12" s="1" t="s">
        <v>77</v>
      </c>
      <c r="D12" s="139">
        <f>'Historical Multiples'!E31*(1-'Historical Multiples'!E12)</f>
        <v>9.1439111300719915</v>
      </c>
      <c r="E12" s="29">
        <f>'Historical Multiples'!P32*1000000</f>
        <v>106279679064.82678</v>
      </c>
      <c r="F12" s="140">
        <f t="shared" si="0"/>
        <v>260.72143877265967</v>
      </c>
      <c r="G12" s="166">
        <f t="shared" ref="G12:G13" si="2">F12</f>
        <v>260.72143877265967</v>
      </c>
      <c r="H12" s="141" t="s">
        <v>162</v>
      </c>
    </row>
    <row r="13" spans="1:8" ht="15.6">
      <c r="B13" t="s">
        <v>173</v>
      </c>
      <c r="C13" s="1" t="s">
        <v>77</v>
      </c>
      <c r="D13" s="139">
        <f>'Historical Multiples'!F31*(1-'Historical Multiples'!E12)</f>
        <v>17.093574691856496</v>
      </c>
      <c r="E13" s="29">
        <f>'Historical Multiples'!P33*1000000</f>
        <v>176354410095.88348</v>
      </c>
      <c r="F13" s="140">
        <f t="shared" si="0"/>
        <v>432.62621734166726</v>
      </c>
      <c r="G13" s="166">
        <f t="shared" si="2"/>
        <v>432.62621734166726</v>
      </c>
      <c r="H13" s="141" t="s">
        <v>162</v>
      </c>
    </row>
    <row r="14" spans="1:8">
      <c r="F14" s="142">
        <f>AVERAGE(F7:F13)</f>
        <v>437.20927393970527</v>
      </c>
      <c r="G14" s="142">
        <f>AVERAGE(G7:G13)</f>
        <v>325.28608427023357</v>
      </c>
    </row>
    <row r="15" spans="1:8">
      <c r="F15" s="163"/>
    </row>
    <row r="16" spans="1:8">
      <c r="E16" s="26" t="s">
        <v>95</v>
      </c>
      <c r="F16" s="26" t="s">
        <v>146</v>
      </c>
    </row>
    <row r="17" spans="4:7">
      <c r="E17" s="143">
        <v>101155096735</v>
      </c>
      <c r="F17" s="144">
        <v>248.15</v>
      </c>
    </row>
    <row r="19" spans="4:7">
      <c r="F19" s="58" t="s">
        <v>17</v>
      </c>
      <c r="G19" s="58" t="s">
        <v>129</v>
      </c>
    </row>
    <row r="20" spans="4:7">
      <c r="E20" s="137" t="s">
        <v>108</v>
      </c>
      <c r="F20" s="132">
        <f>1-(F17/F14)</f>
        <v>0.43242283549039739</v>
      </c>
      <c r="G20" s="132">
        <f>1-(F17/G14)</f>
        <v>0.23713305917554173</v>
      </c>
    </row>
    <row r="23" spans="4:7">
      <c r="D23" s="13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CJ99"/>
  <sheetViews>
    <sheetView showGridLines="0" zoomScale="80" zoomScaleNormal="80" workbookViewId="0">
      <selection activeCell="E6" sqref="E6:E8"/>
    </sheetView>
  </sheetViews>
  <sheetFormatPr defaultColWidth="11.88671875" defaultRowHeight="14.4"/>
  <cols>
    <col min="1" max="1" width="2.77734375" customWidth="1"/>
    <col min="2" max="2" width="22" bestFit="1" customWidth="1"/>
    <col min="3" max="3" width="12.77734375" customWidth="1"/>
    <col min="4" max="4" width="16.6640625" bestFit="1" customWidth="1"/>
    <col min="5" max="5" width="16.88671875" bestFit="1" customWidth="1"/>
    <col min="6" max="6" width="19.77734375" bestFit="1" customWidth="1"/>
    <col min="7" max="7" width="2.77734375" style="236" customWidth="1"/>
    <col min="8" max="8" width="24.77734375" bestFit="1" customWidth="1"/>
    <col min="9" max="9" width="25" bestFit="1" customWidth="1"/>
    <col min="10" max="10" width="27.21875" bestFit="1" customWidth="1"/>
    <col min="11" max="11" width="13" bestFit="1" customWidth="1"/>
    <col min="12" max="12" width="23.109375" bestFit="1" customWidth="1"/>
    <col min="13" max="13" width="17.88671875" bestFit="1" customWidth="1"/>
    <col min="14" max="14" width="23.109375" bestFit="1" customWidth="1"/>
    <col min="15" max="15" width="14.77734375" bestFit="1" customWidth="1"/>
    <col min="19" max="21" width="5" hidden="1" customWidth="1"/>
    <col min="22" max="22" width="6.6640625" hidden="1" customWidth="1"/>
    <col min="23" max="23" width="8.88671875" hidden="1" customWidth="1"/>
    <col min="24" max="70" width="5" hidden="1" customWidth="1"/>
    <col min="73" max="73" width="8.77734375" customWidth="1"/>
    <col min="74" max="74" width="11.88671875" bestFit="1" customWidth="1"/>
    <col min="75" max="75" width="10.6640625" bestFit="1" customWidth="1"/>
    <col min="76" max="76" width="8.77734375" customWidth="1"/>
    <col min="78" max="78" width="12.21875" bestFit="1" customWidth="1"/>
  </cols>
  <sheetData>
    <row r="3" spans="2:88">
      <c r="B3" s="1" t="s">
        <v>0</v>
      </c>
      <c r="C3" s="2">
        <v>0.15</v>
      </c>
      <c r="E3" s="1"/>
      <c r="H3" s="3"/>
      <c r="I3" s="3"/>
    </row>
    <row r="5" spans="2:88">
      <c r="B5" s="112" t="s">
        <v>90</v>
      </c>
      <c r="C5" s="113" t="s">
        <v>75</v>
      </c>
      <c r="D5" s="114" t="s">
        <v>36</v>
      </c>
      <c r="H5" s="3"/>
      <c r="I5" s="3"/>
    </row>
    <row r="6" spans="2:88" ht="17.399999999999999">
      <c r="B6" s="111" t="s">
        <v>92</v>
      </c>
      <c r="C6" s="107">
        <v>0.13</v>
      </c>
      <c r="D6" s="108">
        <f>MIN(E45,E46,E47,C6*100*2)</f>
        <v>26</v>
      </c>
      <c r="E6" s="98" t="s">
        <v>168</v>
      </c>
      <c r="H6" s="3"/>
      <c r="I6" s="3"/>
      <c r="S6" s="4"/>
      <c r="T6" s="5"/>
      <c r="U6" s="5"/>
      <c r="V6" s="6"/>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7"/>
      <c r="CA6" s="102"/>
      <c r="CB6" s="102"/>
      <c r="CC6" s="102"/>
      <c r="CD6" s="102"/>
      <c r="CE6" s="102"/>
      <c r="CF6" s="106"/>
      <c r="CG6" s="106"/>
      <c r="CH6" s="106"/>
      <c r="CI6" s="106"/>
      <c r="CJ6" s="106"/>
    </row>
    <row r="7" spans="2:88" ht="21">
      <c r="B7" s="111" t="s">
        <v>91</v>
      </c>
      <c r="C7" s="109">
        <f>I33</f>
        <v>0.10029506958590013</v>
      </c>
      <c r="D7" s="108">
        <f>MIN(E45,E46,E47,C7*100*2)</f>
        <v>20.059013917180028</v>
      </c>
      <c r="E7" s="98" t="s">
        <v>168</v>
      </c>
      <c r="F7" s="8"/>
      <c r="G7" s="237"/>
      <c r="H7" s="8"/>
      <c r="I7" s="8"/>
      <c r="S7" s="9"/>
      <c r="T7" s="10"/>
      <c r="U7" s="11"/>
      <c r="V7" s="12"/>
      <c r="W7" s="11"/>
      <c r="X7" s="10"/>
      <c r="Y7" s="13" t="s">
        <v>1</v>
      </c>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4"/>
      <c r="CA7" s="103"/>
      <c r="CB7" s="103"/>
      <c r="CC7" s="103"/>
      <c r="CD7" s="103"/>
      <c r="CE7" s="103"/>
      <c r="CF7" s="103"/>
      <c r="CG7" s="103"/>
      <c r="CH7" s="103"/>
      <c r="CI7" s="103"/>
      <c r="CJ7" s="103"/>
    </row>
    <row r="8" spans="2:88" ht="17.399999999999999">
      <c r="B8" s="111" t="s">
        <v>93</v>
      </c>
      <c r="C8" s="110">
        <v>0.05</v>
      </c>
      <c r="D8" s="108">
        <f>MIN(E46,E47,BR29,C8*100*2)</f>
        <v>10</v>
      </c>
      <c r="E8" s="98" t="s">
        <v>168</v>
      </c>
      <c r="L8" t="e" vm="1">
        <v>#VALUE!</v>
      </c>
      <c r="S8" s="9"/>
      <c r="T8" s="176" t="s">
        <v>2</v>
      </c>
      <c r="U8" s="176"/>
      <c r="V8" s="176"/>
      <c r="W8" s="176"/>
      <c r="X8" s="16"/>
      <c r="Y8" s="16"/>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4"/>
      <c r="CC8" s="102"/>
      <c r="CD8" s="104"/>
      <c r="CE8" s="104"/>
      <c r="CF8" s="104"/>
      <c r="CG8" s="104"/>
    </row>
    <row r="9" spans="2:88" ht="17.399999999999999">
      <c r="J9" s="17" t="s">
        <v>3</v>
      </c>
      <c r="S9" s="9"/>
      <c r="T9" s="176" t="s">
        <v>4</v>
      </c>
      <c r="U9" s="176"/>
      <c r="V9" s="15"/>
      <c r="W9" s="19" t="s">
        <v>5</v>
      </c>
      <c r="X9" s="16"/>
      <c r="Y9" s="16" t="s">
        <v>6</v>
      </c>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4"/>
      <c r="CC9" s="103"/>
      <c r="CD9" s="103"/>
      <c r="CE9" s="103"/>
      <c r="CF9" s="103"/>
      <c r="CG9" s="103"/>
    </row>
    <row r="10" spans="2:88" ht="18">
      <c r="B10" s="21" t="s">
        <v>7</v>
      </c>
      <c r="C10" s="21" t="s">
        <v>8</v>
      </c>
      <c r="D10" s="21" t="s">
        <v>9</v>
      </c>
      <c r="E10" s="21" t="s">
        <v>10</v>
      </c>
      <c r="F10" s="172" t="s">
        <v>11</v>
      </c>
      <c r="G10" s="248"/>
      <c r="H10" s="173" t="s">
        <v>12</v>
      </c>
      <c r="I10" s="21" t="s">
        <v>13</v>
      </c>
      <c r="J10" s="21" t="s">
        <v>14</v>
      </c>
      <c r="L10" s="22" t="s">
        <v>16</v>
      </c>
      <c r="M10" s="22" t="s">
        <v>17</v>
      </c>
      <c r="N10" s="22" t="s">
        <v>18</v>
      </c>
      <c r="S10" s="9"/>
      <c r="T10" s="177"/>
      <c r="U10" s="177"/>
      <c r="V10" s="23"/>
      <c r="W10" s="24" t="s">
        <v>19</v>
      </c>
      <c r="X10" s="16"/>
      <c r="Y10" s="16"/>
      <c r="Z10" s="25" t="s">
        <v>20</v>
      </c>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4"/>
    </row>
    <row r="11" spans="2:88" ht="17.399999999999999">
      <c r="B11" s="26">
        <v>1</v>
      </c>
      <c r="C11" s="256">
        <v>2026</v>
      </c>
      <c r="D11" s="27">
        <f>(C33)*(1+$C$6)</f>
        <v>11132.759999999998</v>
      </c>
      <c r="E11" s="27">
        <f>(C33)*(1+$C$7)</f>
        <v>10840.107025560288</v>
      </c>
      <c r="F11" s="244">
        <f>(C33)*(1+$C$8)</f>
        <v>10344.6</v>
      </c>
      <c r="G11" s="247"/>
      <c r="H11" s="246">
        <f t="shared" ref="H11:H16" si="0">PV($C$3,B11,0,D11)*-1</f>
        <v>9680.6608695652176</v>
      </c>
      <c r="I11" s="27">
        <f t="shared" ref="I11:I16" si="1">PV($C$3,B11,0,E11)*-1</f>
        <v>9426.1800222263373</v>
      </c>
      <c r="J11" s="28">
        <f t="shared" ref="J11:J16" si="2">PV($C$3,B11,0,F11)*-1</f>
        <v>8995.3043478260879</v>
      </c>
      <c r="L11" s="29">
        <v>407636900</v>
      </c>
      <c r="M11" s="30">
        <f>AVERAGE(I18:I20)</f>
        <v>194462261458.54922</v>
      </c>
      <c r="N11" s="31">
        <f>M11/L11</f>
        <v>477.04773895235985</v>
      </c>
      <c r="S11" s="9"/>
      <c r="T11" s="177"/>
      <c r="U11" s="177"/>
      <c r="V11" s="23"/>
      <c r="W11" s="23"/>
      <c r="X11" s="10"/>
      <c r="Y11" s="10"/>
      <c r="Z11" s="10"/>
      <c r="AA11" s="16" t="s">
        <v>22</v>
      </c>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4"/>
    </row>
    <row r="12" spans="2:88" ht="17.399999999999999">
      <c r="B12" s="26">
        <v>2</v>
      </c>
      <c r="C12" s="256">
        <f>C11+1</f>
        <v>2027</v>
      </c>
      <c r="D12" s="27">
        <f t="shared" ref="D12:D15" si="3">(D11)*(1+$C$6)</f>
        <v>12580.018799999996</v>
      </c>
      <c r="E12" s="27">
        <f t="shared" ref="E12:E15" si="4">(E11)*(1+$C$7)</f>
        <v>11927.316314007463</v>
      </c>
      <c r="F12" s="244">
        <f t="shared" ref="F12:F15" si="5">(F11)*(1+$C$8)</f>
        <v>10861.830000000002</v>
      </c>
      <c r="G12" s="247"/>
      <c r="H12" s="246">
        <f t="shared" si="0"/>
        <v>9512.3015500945166</v>
      </c>
      <c r="I12" s="27">
        <f t="shared" si="1"/>
        <v>9018.7646986823929</v>
      </c>
      <c r="J12" s="28">
        <f t="shared" si="2"/>
        <v>8213.1039697542565</v>
      </c>
      <c r="L12" s="179" t="s">
        <v>95</v>
      </c>
      <c r="M12" s="179"/>
      <c r="N12" s="128">
        <v>101155096735</v>
      </c>
      <c r="S12" s="9"/>
      <c r="T12" s="178"/>
      <c r="U12" s="178"/>
      <c r="V12" s="34" t="e" cm="1">
        <f t="array" ref="V12">_xlfn.IFS(T12="Pass",W12,T12="Fail",-W12)</f>
        <v>#N/A</v>
      </c>
      <c r="W12" s="34">
        <v>2</v>
      </c>
      <c r="X12" s="10"/>
      <c r="Y12" s="10"/>
      <c r="Z12" s="10"/>
      <c r="AA12" s="10"/>
      <c r="AB12" s="16" t="s">
        <v>24</v>
      </c>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4"/>
    </row>
    <row r="13" spans="2:88" ht="17.399999999999999">
      <c r="B13" s="26">
        <v>3</v>
      </c>
      <c r="C13" s="256">
        <f t="shared" ref="C13:C16" si="6">C12+1</f>
        <v>2028</v>
      </c>
      <c r="D13" s="27">
        <f t="shared" si="3"/>
        <v>14215.421243999994</v>
      </c>
      <c r="E13" s="27">
        <f t="shared" si="4"/>
        <v>13123.567333693883</v>
      </c>
      <c r="F13" s="244">
        <f t="shared" si="5"/>
        <v>11404.921500000002</v>
      </c>
      <c r="G13" s="247"/>
      <c r="H13" s="246">
        <f t="shared" si="0"/>
        <v>9346.8702187885247</v>
      </c>
      <c r="I13" s="27">
        <f t="shared" si="1"/>
        <v>8628.9585493179165</v>
      </c>
      <c r="J13" s="28">
        <f t="shared" si="2"/>
        <v>7498.9210158625829</v>
      </c>
      <c r="L13" s="179" t="s">
        <v>23</v>
      </c>
      <c r="M13" s="179"/>
      <c r="N13" s="33">
        <v>248.15</v>
      </c>
      <c r="S13" s="9"/>
      <c r="T13" s="177"/>
      <c r="U13" s="177"/>
      <c r="V13" s="23"/>
      <c r="W13" s="36"/>
      <c r="X13" s="16"/>
      <c r="Y13" s="16"/>
      <c r="Z13" s="10"/>
      <c r="AA13" s="16" t="s">
        <v>26</v>
      </c>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4"/>
    </row>
    <row r="14" spans="2:88" ht="17.399999999999999">
      <c r="B14" s="26">
        <v>4</v>
      </c>
      <c r="C14" s="256">
        <f t="shared" si="6"/>
        <v>2029</v>
      </c>
      <c r="D14" s="27">
        <f t="shared" si="3"/>
        <v>16063.426005719992</v>
      </c>
      <c r="E14" s="27">
        <f t="shared" si="4"/>
        <v>14439.796432641959</v>
      </c>
      <c r="F14" s="244">
        <f t="shared" si="5"/>
        <v>11975.167575000003</v>
      </c>
      <c r="G14" s="247"/>
      <c r="H14" s="246">
        <f t="shared" si="0"/>
        <v>9184.3159541139412</v>
      </c>
      <c r="I14" s="27">
        <f t="shared" si="1"/>
        <v>8256.0004760657448</v>
      </c>
      <c r="J14" s="28">
        <f t="shared" si="2"/>
        <v>6846.8409275267068</v>
      </c>
      <c r="L14" s="175" t="s">
        <v>25</v>
      </c>
      <c r="M14" s="175"/>
      <c r="N14" s="35">
        <f>(N11-N13)/N11</f>
        <v>0.47982145236667523</v>
      </c>
      <c r="S14" s="9"/>
      <c r="T14" s="178"/>
      <c r="U14" s="178"/>
      <c r="V14" s="34" t="e" cm="1">
        <f t="array" ref="V14">_xlfn.IFS(T14="Pass",W14,T14="Fail",-W14)</f>
        <v>#N/A</v>
      </c>
      <c r="W14" s="37">
        <v>2</v>
      </c>
      <c r="X14" s="16"/>
      <c r="Y14" s="16"/>
      <c r="Z14" s="10"/>
      <c r="AA14" s="16"/>
      <c r="AB14" s="10" t="s">
        <v>27</v>
      </c>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4"/>
    </row>
    <row r="15" spans="2:88" ht="17.399999999999999">
      <c r="B15" s="26">
        <v>5</v>
      </c>
      <c r="C15" s="256">
        <f t="shared" si="6"/>
        <v>2030</v>
      </c>
      <c r="D15" s="27">
        <f t="shared" si="3"/>
        <v>18151.671386463589</v>
      </c>
      <c r="E15" s="27">
        <f t="shared" si="4"/>
        <v>15888.036820660018</v>
      </c>
      <c r="F15" s="244">
        <f t="shared" si="5"/>
        <v>12573.925953750004</v>
      </c>
      <c r="G15" s="247"/>
      <c r="H15" s="246">
        <f t="shared" si="0"/>
        <v>9024.5887201293499</v>
      </c>
      <c r="I15" s="27">
        <f t="shared" si="1"/>
        <v>7899.1622767947692</v>
      </c>
      <c r="J15" s="28">
        <f t="shared" si="2"/>
        <v>6251.4634555678631</v>
      </c>
      <c r="S15" s="9"/>
      <c r="T15" s="178"/>
      <c r="U15" s="178"/>
      <c r="V15" s="34" t="e" cm="1">
        <f t="array" ref="V15">_xlfn.IFS(T15="Pass",W15,T15="Fail",-W15)</f>
        <v>#N/A</v>
      </c>
      <c r="W15" s="37">
        <v>4</v>
      </c>
      <c r="X15" s="16"/>
      <c r="Y15" s="16"/>
      <c r="Z15" s="10"/>
      <c r="AA15" s="16"/>
      <c r="AB15" s="10"/>
      <c r="AC15" s="10" t="s">
        <v>28</v>
      </c>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4"/>
    </row>
    <row r="16" spans="2:88" ht="17.399999999999999">
      <c r="B16" s="26">
        <v>5</v>
      </c>
      <c r="C16" s="256">
        <f t="shared" si="6"/>
        <v>2031</v>
      </c>
      <c r="D16" s="38">
        <f>D15*D6</f>
        <v>471943.45604805334</v>
      </c>
      <c r="E16" s="38">
        <f>E15*D7</f>
        <v>318698.35170228803</v>
      </c>
      <c r="F16" s="245">
        <f>F15*D8</f>
        <v>125739.25953750004</v>
      </c>
      <c r="G16" s="249"/>
      <c r="H16" s="246">
        <f t="shared" si="0"/>
        <v>234639.30672336312</v>
      </c>
      <c r="I16" s="27">
        <f t="shared" si="1"/>
        <v>158449.40604428976</v>
      </c>
      <c r="J16" s="28">
        <f t="shared" si="2"/>
        <v>62514.634555678625</v>
      </c>
      <c r="S16" s="9"/>
      <c r="T16" s="178"/>
      <c r="U16" s="178"/>
      <c r="V16" s="34" t="e" cm="1">
        <f t="array" ref="V16">_xlfn.IFS(T16="Pass",W16,T16="Fail",-W16)</f>
        <v>#N/A</v>
      </c>
      <c r="W16" s="37">
        <v>1</v>
      </c>
      <c r="X16" s="16"/>
      <c r="Y16" s="16"/>
      <c r="Z16" s="10"/>
      <c r="AA16" s="10"/>
      <c r="AB16" s="10"/>
      <c r="AC16" s="10"/>
      <c r="AD16" s="16" t="s">
        <v>29</v>
      </c>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4"/>
    </row>
    <row r="17" spans="2:70" ht="17.399999999999999">
      <c r="C17" s="124"/>
      <c r="D17" s="125"/>
      <c r="E17" s="125"/>
      <c r="F17" s="125"/>
      <c r="G17" s="125"/>
      <c r="H17" s="80"/>
      <c r="I17" s="126" t="s">
        <v>33</v>
      </c>
      <c r="J17" s="99" t="s">
        <v>94</v>
      </c>
      <c r="S17" s="9"/>
      <c r="T17" s="101"/>
      <c r="U17" s="101"/>
      <c r="V17" s="34"/>
      <c r="W17" s="37"/>
      <c r="X17" s="16"/>
      <c r="Y17" s="16"/>
      <c r="Z17" s="10"/>
      <c r="AA17" s="10"/>
      <c r="AB17" s="10"/>
      <c r="AC17" s="10"/>
      <c r="AD17" s="16"/>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4"/>
    </row>
    <row r="18" spans="2:70" ht="15.6">
      <c r="H18" s="39" t="s">
        <v>30</v>
      </c>
      <c r="I18" s="127">
        <f>SUM(H11:H16)*1000000</f>
        <v>281388044036.05469</v>
      </c>
      <c r="J18" s="127">
        <f>I18/$L$11</f>
        <v>690.29090358614417</v>
      </c>
    </row>
    <row r="19" spans="2:70" ht="15.6">
      <c r="H19" s="39" t="s">
        <v>31</v>
      </c>
      <c r="I19" s="127">
        <f>SUM(I11:I16)*1000000</f>
        <v>201678472067.37692</v>
      </c>
      <c r="J19" s="127">
        <f t="shared" ref="J19:J20" si="7">I19/$L$11</f>
        <v>494.75028405764277</v>
      </c>
    </row>
    <row r="20" spans="2:70" ht="15.6">
      <c r="H20" s="39" t="s">
        <v>32</v>
      </c>
      <c r="I20" s="127">
        <f>SUM(J11:J16)*1000000</f>
        <v>100320268272.21613</v>
      </c>
      <c r="J20" s="127">
        <f t="shared" si="7"/>
        <v>246.10202921329284</v>
      </c>
    </row>
    <row r="21" spans="2:70" ht="15.6">
      <c r="K21" s="40"/>
    </row>
    <row r="22" spans="2:70" ht="15.6">
      <c r="B22" s="43"/>
      <c r="C22" s="55"/>
      <c r="D22" s="55"/>
      <c r="E22" s="55"/>
      <c r="F22" s="118"/>
      <c r="G22" s="238"/>
      <c r="H22" s="119"/>
      <c r="I22" s="55"/>
      <c r="J22" s="56"/>
    </row>
    <row r="23" spans="2:70" ht="19.05" customHeight="1">
      <c r="B23" s="122" t="s">
        <v>34</v>
      </c>
      <c r="C23" s="123" t="s">
        <v>41</v>
      </c>
      <c r="D23" s="123" t="s">
        <v>81</v>
      </c>
      <c r="E23" s="123" t="s">
        <v>82</v>
      </c>
      <c r="F23" s="123" t="s">
        <v>83</v>
      </c>
      <c r="G23" s="239"/>
      <c r="H23" s="102"/>
      <c r="I23" s="102"/>
      <c r="J23" s="120"/>
    </row>
    <row r="24" spans="2:70" ht="15.6">
      <c r="B24" s="115">
        <v>2016</v>
      </c>
      <c r="C24" s="46">
        <v>1995.923</v>
      </c>
      <c r="D24" s="46">
        <v>349.3</v>
      </c>
      <c r="E24" s="116">
        <f>C24-D24</f>
        <v>1646.623</v>
      </c>
      <c r="F24" s="1" t="s">
        <v>77</v>
      </c>
      <c r="G24" s="240"/>
      <c r="H24" s="103"/>
      <c r="I24" s="103"/>
      <c r="J24" s="117"/>
    </row>
    <row r="25" spans="2:70" ht="15.6">
      <c r="B25" s="115">
        <v>2017</v>
      </c>
      <c r="C25" s="46">
        <v>2734.7310000000002</v>
      </c>
      <c r="D25" s="46">
        <v>454.47</v>
      </c>
      <c r="E25" s="116">
        <f t="shared" ref="E25:E33" si="8">C25-D25</f>
        <v>2280.2610000000004</v>
      </c>
      <c r="F25" s="8">
        <f>RATE(1,0,-E24,E25)</f>
        <v>0.38481060935016703</v>
      </c>
      <c r="G25" s="237"/>
      <c r="J25" s="57"/>
    </row>
    <row r="26" spans="2:70" ht="15.6">
      <c r="B26" s="115">
        <v>2018</v>
      </c>
      <c r="C26" s="46">
        <v>3762.7249999999999</v>
      </c>
      <c r="D26" s="46">
        <v>610</v>
      </c>
      <c r="E26" s="116">
        <f t="shared" si="8"/>
        <v>3152.7249999999999</v>
      </c>
      <c r="F26" s="8">
        <f t="shared" ref="F26:F33" si="9">RATE(1,0,-E25,E26)</f>
        <v>0.38261584967685686</v>
      </c>
      <c r="G26" s="237"/>
      <c r="J26" s="57"/>
    </row>
    <row r="27" spans="2:70" ht="15.6">
      <c r="B27" s="115">
        <v>2019</v>
      </c>
      <c r="C27" s="46">
        <v>4027.3339999999998</v>
      </c>
      <c r="D27" s="46">
        <v>788</v>
      </c>
      <c r="E27" s="116">
        <f t="shared" si="8"/>
        <v>3239.3339999999998</v>
      </c>
      <c r="F27" s="8">
        <f t="shared" si="9"/>
        <v>2.7471155904812476E-2</v>
      </c>
      <c r="G27" s="237"/>
      <c r="J27" s="57"/>
    </row>
    <row r="28" spans="2:70" ht="15.6">
      <c r="B28" s="115">
        <v>2020</v>
      </c>
      <c r="C28" s="46">
        <v>5308</v>
      </c>
      <c r="D28" s="46">
        <v>909</v>
      </c>
      <c r="E28" s="116">
        <f t="shared" si="8"/>
        <v>4399</v>
      </c>
      <c r="F28" s="8">
        <f t="shared" si="9"/>
        <v>0.35799519283902187</v>
      </c>
      <c r="G28" s="237"/>
      <c r="J28" s="57"/>
    </row>
    <row r="29" spans="2:70" ht="19.95" customHeight="1">
      <c r="B29" s="115">
        <v>2021</v>
      </c>
      <c r="C29" s="46">
        <v>6882</v>
      </c>
      <c r="D29" s="46">
        <v>1069</v>
      </c>
      <c r="E29" s="116">
        <f t="shared" si="8"/>
        <v>5813</v>
      </c>
      <c r="F29" s="8">
        <f t="shared" si="9"/>
        <v>0.32143669015685367</v>
      </c>
      <c r="G29" s="237"/>
      <c r="J29" s="57"/>
    </row>
    <row r="30" spans="2:70" ht="15.6">
      <c r="B30" s="115">
        <v>2022</v>
      </c>
      <c r="C30" s="46">
        <v>7396</v>
      </c>
      <c r="D30" s="46">
        <v>1440</v>
      </c>
      <c r="E30" s="116">
        <f t="shared" si="8"/>
        <v>5956</v>
      </c>
      <c r="F30" s="8">
        <f t="shared" si="9"/>
        <v>2.4600034405642495E-2</v>
      </c>
      <c r="G30" s="237"/>
      <c r="H30" s="174" t="s">
        <v>84</v>
      </c>
      <c r="I30" s="174"/>
      <c r="J30" s="57"/>
    </row>
    <row r="31" spans="2:70" ht="15.6">
      <c r="B31" s="115">
        <v>2023</v>
      </c>
      <c r="C31" s="46">
        <v>6942</v>
      </c>
      <c r="D31" s="46">
        <v>1718</v>
      </c>
      <c r="E31" s="116">
        <f t="shared" si="8"/>
        <v>5224</v>
      </c>
      <c r="F31" s="8">
        <f t="shared" si="9"/>
        <v>-0.12290127602417722</v>
      </c>
      <c r="G31" s="237"/>
      <c r="H31" s="1" t="s">
        <v>78</v>
      </c>
      <c r="I31" s="8">
        <f>RATE(10,0,-C24,C33)</f>
        <v>0.1731081771187728</v>
      </c>
      <c r="J31" s="57"/>
    </row>
    <row r="32" spans="2:70" ht="19.95" customHeight="1">
      <c r="B32" s="115">
        <v>2024</v>
      </c>
      <c r="C32" s="46">
        <v>7873</v>
      </c>
      <c r="D32" s="46">
        <v>1833</v>
      </c>
      <c r="E32" s="116">
        <f t="shared" si="8"/>
        <v>6040</v>
      </c>
      <c r="F32" s="8">
        <f t="shared" si="9"/>
        <v>0.15620214395099535</v>
      </c>
      <c r="G32" s="237"/>
      <c r="H32" s="1" t="s">
        <v>79</v>
      </c>
      <c r="I32" s="8">
        <f>RATE(5,0,-C28,C33)</f>
        <v>0.13166711980319729</v>
      </c>
      <c r="J32" s="57"/>
    </row>
    <row r="33" spans="2:10" ht="15.6">
      <c r="B33" s="115">
        <v>2025</v>
      </c>
      <c r="C33" s="46">
        <v>9852</v>
      </c>
      <c r="D33" s="46">
        <v>1942</v>
      </c>
      <c r="E33" s="116">
        <f t="shared" si="8"/>
        <v>7910</v>
      </c>
      <c r="F33" s="8">
        <f t="shared" si="9"/>
        <v>0.30960264900662243</v>
      </c>
      <c r="G33" s="237"/>
      <c r="H33" s="1" t="s">
        <v>80</v>
      </c>
      <c r="I33" s="8">
        <f>RATE(3,0,-C30,C33)</f>
        <v>0.10029506958590013</v>
      </c>
      <c r="J33" s="57"/>
    </row>
    <row r="34" spans="2:10">
      <c r="B34" s="48"/>
      <c r="C34" s="58"/>
      <c r="D34" s="58"/>
      <c r="E34" s="58"/>
      <c r="F34" s="58"/>
      <c r="G34" s="241"/>
      <c r="H34" s="58"/>
      <c r="I34" s="58"/>
      <c r="J34" s="59"/>
    </row>
    <row r="35" spans="2:10" ht="19.05" customHeight="1"/>
    <row r="36" spans="2:10" ht="19.05" customHeight="1">
      <c r="B36" s="43"/>
      <c r="C36" s="55"/>
      <c r="D36" s="55"/>
      <c r="E36" s="55"/>
      <c r="F36" s="56"/>
      <c r="G36" s="242"/>
    </row>
    <row r="37" spans="2:10" ht="15.6">
      <c r="B37" s="122" t="s">
        <v>34</v>
      </c>
      <c r="C37" s="100" t="s">
        <v>85</v>
      </c>
      <c r="F37" s="57"/>
      <c r="G37" s="242"/>
    </row>
    <row r="38" spans="2:10" ht="15.6">
      <c r="B38" s="115">
        <v>2016</v>
      </c>
      <c r="C38" s="73">
        <v>24.84</v>
      </c>
      <c r="F38" s="57"/>
      <c r="G38" s="242"/>
    </row>
    <row r="39" spans="2:10" ht="15.6">
      <c r="B39" s="115">
        <v>2017</v>
      </c>
      <c r="C39" s="73">
        <v>32.36</v>
      </c>
      <c r="F39" s="57"/>
      <c r="G39" s="242"/>
    </row>
    <row r="40" spans="2:10" ht="15.6">
      <c r="B40" s="115">
        <v>2018</v>
      </c>
      <c r="C40" s="73">
        <v>32.549999999999997</v>
      </c>
      <c r="F40" s="57"/>
      <c r="G40" s="242"/>
    </row>
    <row r="41" spans="2:10" ht="15.6">
      <c r="B41" s="115">
        <v>2019</v>
      </c>
      <c r="C41" s="73">
        <v>37.21</v>
      </c>
      <c r="F41" s="57"/>
      <c r="G41" s="242"/>
    </row>
    <row r="42" spans="2:10" ht="15.6">
      <c r="B42" s="115">
        <v>2020</v>
      </c>
      <c r="C42" s="73">
        <v>43.11</v>
      </c>
      <c r="F42" s="57"/>
      <c r="G42" s="242"/>
    </row>
    <row r="43" spans="2:10" ht="15.6">
      <c r="B43" s="115">
        <v>2021</v>
      </c>
      <c r="C43" s="73">
        <v>42.62</v>
      </c>
      <c r="F43" s="57"/>
      <c r="G43" s="242"/>
    </row>
    <row r="44" spans="2:10" ht="15.6">
      <c r="B44" s="115">
        <v>2022</v>
      </c>
      <c r="C44" s="73">
        <v>21.47</v>
      </c>
      <c r="D44" s="174" t="s">
        <v>86</v>
      </c>
      <c r="E44" s="174"/>
      <c r="F44" s="57"/>
      <c r="G44" s="242"/>
    </row>
    <row r="45" spans="2:10" ht="15.6">
      <c r="B45" s="115">
        <v>2023</v>
      </c>
      <c r="C45" s="73">
        <v>40.17</v>
      </c>
      <c r="D45" t="s">
        <v>87</v>
      </c>
      <c r="E45" s="121">
        <f>AVERAGE(C38:C47)</f>
        <v>31.678000000000004</v>
      </c>
      <c r="F45" s="57"/>
      <c r="G45" s="242"/>
    </row>
    <row r="46" spans="2:10" ht="15.6">
      <c r="B46" s="115">
        <v>2024</v>
      </c>
      <c r="C46" s="73">
        <v>28.85</v>
      </c>
      <c r="D46" t="s">
        <v>88</v>
      </c>
      <c r="E46" s="121">
        <f>AVERAGE(C43:C47)</f>
        <v>29.342000000000002</v>
      </c>
      <c r="F46" s="57"/>
      <c r="G46" s="242"/>
    </row>
    <row r="47" spans="2:10" ht="15.6">
      <c r="B47" s="115">
        <v>2025</v>
      </c>
      <c r="C47" s="73">
        <v>13.6</v>
      </c>
      <c r="D47" t="s">
        <v>89</v>
      </c>
      <c r="E47" s="121">
        <f>AVERAGE(C45:C47)</f>
        <v>27.540000000000003</v>
      </c>
      <c r="F47" s="57"/>
      <c r="G47" s="242"/>
    </row>
    <row r="48" spans="2:10">
      <c r="B48" s="48"/>
      <c r="C48" s="58"/>
      <c r="D48" s="58"/>
      <c r="E48" s="58"/>
      <c r="F48" s="59"/>
      <c r="G48" s="242"/>
    </row>
    <row r="54" spans="5:7">
      <c r="E54" s="20"/>
    </row>
    <row r="55" spans="5:7">
      <c r="E55" s="32"/>
    </row>
    <row r="57" spans="5:7">
      <c r="E57" s="49"/>
    </row>
    <row r="60" spans="5:7">
      <c r="E60" s="49"/>
      <c r="F60" s="49"/>
      <c r="G60" s="243"/>
    </row>
    <row r="96" spans="19:70" ht="17.399999999999999">
      <c r="S96" s="9"/>
      <c r="T96" s="178"/>
      <c r="U96" s="178"/>
      <c r="V96" s="34" t="e" cm="1">
        <f t="array" ref="V96">_xlfn.IFS(T96="Pass",W96,T96="Fail",-W96)</f>
        <v>#N/A</v>
      </c>
      <c r="W96" s="34">
        <v>3</v>
      </c>
      <c r="X96" s="10"/>
      <c r="Y96" s="10"/>
      <c r="Z96" s="10"/>
      <c r="AA96" s="10"/>
      <c r="AB96" s="10" t="s">
        <v>38</v>
      </c>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4"/>
    </row>
    <row r="97" spans="19:70" ht="17.399999999999999">
      <c r="S97" s="9"/>
      <c r="T97" s="177"/>
      <c r="U97" s="177"/>
      <c r="V97" s="23"/>
      <c r="W97" s="23"/>
      <c r="X97" s="10"/>
      <c r="Y97" s="10"/>
      <c r="Z97" s="10"/>
      <c r="AA97" s="10"/>
      <c r="AB97" s="10"/>
      <c r="AC97" s="10" t="s">
        <v>39</v>
      </c>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4"/>
    </row>
    <row r="98" spans="19:70" ht="17.399999999999999">
      <c r="S98" s="9"/>
      <c r="T98" s="180" t="s">
        <v>40</v>
      </c>
      <c r="U98" s="180"/>
      <c r="V98" s="181" t="e">
        <f>SUM(V12:V97)</f>
        <v>#N/A</v>
      </c>
      <c r="W98" s="181"/>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4"/>
    </row>
    <row r="99" spans="19:70" ht="17.399999999999999">
      <c r="S99" s="50"/>
      <c r="T99" s="51"/>
      <c r="U99" s="51"/>
      <c r="V99" s="52"/>
      <c r="W99" s="53">
        <f>SUM(W12:W97)</f>
        <v>12</v>
      </c>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4"/>
    </row>
  </sheetData>
  <mergeCells count="18">
    <mergeCell ref="T98:U98"/>
    <mergeCell ref="V98:W98"/>
    <mergeCell ref="T13:U13"/>
    <mergeCell ref="T14:U14"/>
    <mergeCell ref="T15:U15"/>
    <mergeCell ref="T96:U96"/>
    <mergeCell ref="T97:U97"/>
    <mergeCell ref="H30:I30"/>
    <mergeCell ref="D44:E44"/>
    <mergeCell ref="L14:M14"/>
    <mergeCell ref="T8:W8"/>
    <mergeCell ref="T9:U9"/>
    <mergeCell ref="T10:U10"/>
    <mergeCell ref="T11:U11"/>
    <mergeCell ref="T16:U16"/>
    <mergeCell ref="L12:M12"/>
    <mergeCell ref="T12:U12"/>
    <mergeCell ref="L13:M13"/>
  </mergeCells>
  <conditionalFormatting sqref="N14">
    <cfRule type="cellIs" dxfId="23" priority="8" operator="lessThan">
      <formula>0</formula>
    </cfRule>
    <cfRule type="cellIs" dxfId="22" priority="9" operator="greaterThan">
      <formula>0</formula>
    </cfRule>
  </conditionalFormatting>
  <conditionalFormatting sqref="V98:W98">
    <cfRule type="cellIs" dxfId="21" priority="10" operator="between">
      <formula>$H$99*0.75</formula>
      <formula>$H$99*0.9</formula>
    </cfRule>
    <cfRule type="cellIs" dxfId="20" priority="11" operator="lessThan">
      <formula>$H$99*0.75</formula>
    </cfRule>
    <cfRule type="cellIs" dxfId="19" priority="12" operator="greaterThan">
      <formula>$H$99*0.9</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F98B1-654A-4A45-BF36-0C6F2E0E3163}">
  <dimension ref="B3:CJ99"/>
  <sheetViews>
    <sheetView showGridLines="0" zoomScale="80" zoomScaleNormal="80" workbookViewId="0"/>
  </sheetViews>
  <sheetFormatPr defaultColWidth="11.88671875" defaultRowHeight="14.4"/>
  <cols>
    <col min="1" max="1" width="2.77734375" customWidth="1"/>
    <col min="2" max="2" width="22" bestFit="1" customWidth="1"/>
    <col min="3" max="3" width="12.77734375" customWidth="1"/>
    <col min="4" max="4" width="23.21875" bestFit="1" customWidth="1"/>
    <col min="5" max="5" width="23.44140625" bestFit="1" customWidth="1"/>
    <col min="6" max="6" width="25.77734375" bestFit="1" customWidth="1"/>
    <col min="7" max="7" width="2.77734375" style="236" customWidth="1"/>
    <col min="8" max="8" width="24.77734375" bestFit="1" customWidth="1"/>
    <col min="9" max="9" width="25" bestFit="1" customWidth="1"/>
    <col min="10" max="10" width="27.21875" bestFit="1" customWidth="1"/>
    <col min="11" max="11" width="13" bestFit="1" customWidth="1"/>
    <col min="12" max="12" width="23.109375" bestFit="1" customWidth="1"/>
    <col min="13" max="13" width="19.44140625" bestFit="1" customWidth="1"/>
    <col min="14" max="14" width="23.109375" bestFit="1" customWidth="1"/>
    <col min="15" max="15" width="14.77734375" bestFit="1" customWidth="1"/>
    <col min="19" max="21" width="5" hidden="1" customWidth="1"/>
    <col min="22" max="22" width="6.6640625" hidden="1" customWidth="1"/>
    <col min="23" max="23" width="8.88671875" hidden="1" customWidth="1"/>
    <col min="24" max="70" width="5" hidden="1" customWidth="1"/>
    <col min="73" max="73" width="8.77734375" customWidth="1"/>
    <col min="74" max="74" width="11.88671875" bestFit="1" customWidth="1"/>
    <col min="75" max="75" width="10.6640625" bestFit="1" customWidth="1"/>
    <col min="76" max="76" width="8.77734375" customWidth="1"/>
    <col min="78" max="78" width="12.21875" bestFit="1" customWidth="1"/>
  </cols>
  <sheetData>
    <row r="3" spans="2:88">
      <c r="B3" s="1" t="s">
        <v>0</v>
      </c>
      <c r="C3" s="2">
        <v>0.15</v>
      </c>
      <c r="E3" s="1"/>
      <c r="H3" s="3"/>
      <c r="I3" s="3"/>
    </row>
    <row r="4" spans="2:88">
      <c r="D4" s="35">
        <f>1-(SUM(C38:C47)/SUM('DCF (FCF)'!C38:C47))</f>
        <v>6.0136372245722769E-2</v>
      </c>
      <c r="E4" s="98" t="s">
        <v>120</v>
      </c>
    </row>
    <row r="5" spans="2:88">
      <c r="B5" s="112" t="s">
        <v>90</v>
      </c>
      <c r="C5" s="113" t="s">
        <v>75</v>
      </c>
      <c r="D5" s="114" t="s">
        <v>36</v>
      </c>
      <c r="E5" s="131"/>
      <c r="H5" s="3"/>
      <c r="I5" s="3"/>
    </row>
    <row r="6" spans="2:88" ht="17.399999999999999">
      <c r="B6" s="111" t="s">
        <v>92</v>
      </c>
      <c r="C6" s="107">
        <v>0.13</v>
      </c>
      <c r="D6" s="108">
        <f>'DCF (FCF)'!D6*(1-'DCF (OCF)'!$D$4)</f>
        <v>24.436454321611208</v>
      </c>
      <c r="E6" s="98" t="s">
        <v>169</v>
      </c>
      <c r="H6" s="3"/>
      <c r="I6" s="3"/>
      <c r="S6" s="4"/>
      <c r="T6" s="5"/>
      <c r="U6" s="5"/>
      <c r="V6" s="6"/>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7"/>
      <c r="CA6" s="102"/>
      <c r="CB6" s="102"/>
      <c r="CC6" s="102"/>
      <c r="CD6" s="102"/>
      <c r="CE6" s="102"/>
      <c r="CF6" s="106"/>
      <c r="CG6" s="106"/>
      <c r="CH6" s="106"/>
      <c r="CI6" s="106"/>
      <c r="CJ6" s="106"/>
    </row>
    <row r="7" spans="2:88" ht="21">
      <c r="B7" s="111" t="s">
        <v>91</v>
      </c>
      <c r="C7" s="109">
        <f>H32</f>
        <v>0.10325938099150919</v>
      </c>
      <c r="D7" s="108">
        <f>'DCF (FCF)'!D7*(1-'DCF (OCF)'!$D$4)</f>
        <v>18.852737589374357</v>
      </c>
      <c r="E7" s="98" t="s">
        <v>169</v>
      </c>
      <c r="F7" s="8"/>
      <c r="G7" s="237"/>
      <c r="H7" s="8"/>
      <c r="I7" s="8"/>
      <c r="S7" s="9"/>
      <c r="T7" s="10"/>
      <c r="U7" s="11"/>
      <c r="V7" s="12"/>
      <c r="W7" s="11"/>
      <c r="X7" s="10"/>
      <c r="Y7" s="13" t="s">
        <v>1</v>
      </c>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4"/>
      <c r="CA7" s="103"/>
      <c r="CB7" s="103"/>
      <c r="CC7" s="103"/>
      <c r="CD7" s="103"/>
      <c r="CE7" s="103"/>
      <c r="CF7" s="103"/>
      <c r="CG7" s="103"/>
      <c r="CH7" s="103"/>
      <c r="CI7" s="103"/>
      <c r="CJ7" s="103"/>
    </row>
    <row r="8" spans="2:88" ht="17.399999999999999">
      <c r="B8" s="111" t="s">
        <v>93</v>
      </c>
      <c r="C8" s="110">
        <v>0.05</v>
      </c>
      <c r="D8" s="108">
        <f>'DCF (FCF)'!D8*(1-'DCF (OCF)'!$D$4)</f>
        <v>9.3986362775427725</v>
      </c>
      <c r="E8" s="98" t="s">
        <v>169</v>
      </c>
      <c r="L8" t="e" vm="1">
        <v>#VALUE!</v>
      </c>
      <c r="S8" s="9"/>
      <c r="T8" s="176" t="s">
        <v>2</v>
      </c>
      <c r="U8" s="176"/>
      <c r="V8" s="176"/>
      <c r="W8" s="176"/>
      <c r="X8" s="16"/>
      <c r="Y8" s="16"/>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4"/>
      <c r="CC8" s="102"/>
      <c r="CD8" s="104"/>
      <c r="CE8" s="104"/>
      <c r="CF8" s="104"/>
      <c r="CG8" s="104"/>
    </row>
    <row r="9" spans="2:88" ht="17.399999999999999">
      <c r="J9" s="17" t="s">
        <v>3</v>
      </c>
      <c r="S9" s="9"/>
      <c r="T9" s="176" t="s">
        <v>4</v>
      </c>
      <c r="U9" s="176"/>
      <c r="V9" s="15"/>
      <c r="W9" s="19" t="s">
        <v>5</v>
      </c>
      <c r="X9" s="16"/>
      <c r="Y9" s="16" t="s">
        <v>6</v>
      </c>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4"/>
      <c r="CC9" s="103"/>
      <c r="CD9" s="103"/>
      <c r="CE9" s="103"/>
      <c r="CF9" s="103"/>
      <c r="CG9" s="103"/>
    </row>
    <row r="10" spans="2:88" ht="18">
      <c r="B10" s="21" t="s">
        <v>7</v>
      </c>
      <c r="C10" s="21" t="s">
        <v>8</v>
      </c>
      <c r="D10" s="21" t="s">
        <v>147</v>
      </c>
      <c r="E10" s="21" t="s">
        <v>148</v>
      </c>
      <c r="F10" s="172" t="s">
        <v>149</v>
      </c>
      <c r="G10" s="248"/>
      <c r="H10" s="173" t="s">
        <v>12</v>
      </c>
      <c r="I10" s="21" t="s">
        <v>13</v>
      </c>
      <c r="J10" s="21" t="s">
        <v>14</v>
      </c>
      <c r="L10" s="22" t="s">
        <v>16</v>
      </c>
      <c r="M10" s="22" t="s">
        <v>17</v>
      </c>
      <c r="N10" s="22" t="s">
        <v>18</v>
      </c>
      <c r="S10" s="9"/>
      <c r="T10" s="177"/>
      <c r="U10" s="177"/>
      <c r="V10" s="23"/>
      <c r="W10" s="24" t="s">
        <v>19</v>
      </c>
      <c r="X10" s="16"/>
      <c r="Y10" s="16"/>
      <c r="Z10" s="25" t="s">
        <v>20</v>
      </c>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4"/>
    </row>
    <row r="11" spans="2:88" ht="17.399999999999999">
      <c r="B11" s="26">
        <v>1</v>
      </c>
      <c r="C11" s="256">
        <v>2026</v>
      </c>
      <c r="D11" s="27">
        <f>(C33)*(1+$C$6)</f>
        <v>11335.029999999999</v>
      </c>
      <c r="E11" s="27">
        <f>(C33)*(1+$C$7)</f>
        <v>11066.79485072583</v>
      </c>
      <c r="F11" s="244">
        <f>(C33)*(1+$C$8)</f>
        <v>10532.550000000001</v>
      </c>
      <c r="G11" s="247"/>
      <c r="H11" s="246">
        <f t="shared" ref="H11:H16" si="0">PV($C$3,B11,0,D11)*-1</f>
        <v>9856.5478260869568</v>
      </c>
      <c r="I11" s="27">
        <f t="shared" ref="I11:I16" si="1">PV($C$3,B11,0,E11)*-1</f>
        <v>9623.2998701963752</v>
      </c>
      <c r="J11" s="28">
        <f t="shared" ref="J11:J16" si="2">PV($C$3,B11,0,F11)*-1</f>
        <v>9158.7391304347839</v>
      </c>
      <c r="L11" s="29">
        <v>407636900</v>
      </c>
      <c r="M11" s="30">
        <f>AVERAGE(I18:I20)</f>
        <v>189496718334.42615</v>
      </c>
      <c r="N11" s="31">
        <f>M11/L11</f>
        <v>464.86644936811695</v>
      </c>
      <c r="S11" s="9"/>
      <c r="T11" s="177"/>
      <c r="U11" s="177"/>
      <c r="V11" s="23"/>
      <c r="W11" s="23"/>
      <c r="X11" s="10"/>
      <c r="Y11" s="10"/>
      <c r="Z11" s="10"/>
      <c r="AA11" s="16" t="s">
        <v>22</v>
      </c>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4"/>
    </row>
    <row r="12" spans="2:88" ht="17.399999999999999">
      <c r="B12" s="26">
        <v>2</v>
      </c>
      <c r="C12" s="256">
        <f>C11+1</f>
        <v>2027</v>
      </c>
      <c r="D12" s="27">
        <f t="shared" ref="D12:D15" si="3">(D11)*(1+$C$6)</f>
        <v>12808.583899999998</v>
      </c>
      <c r="E12" s="27">
        <f t="shared" ref="E12:E15" si="4">(E11)*(1+$C$7)</f>
        <v>12209.545236571801</v>
      </c>
      <c r="F12" s="244">
        <f t="shared" ref="F12:F15" si="5">(F11)*(1+$C$8)</f>
        <v>11059.177500000002</v>
      </c>
      <c r="G12" s="247"/>
      <c r="H12" s="246">
        <f t="shared" si="0"/>
        <v>9685.129603024574</v>
      </c>
      <c r="I12" s="27">
        <f t="shared" si="1"/>
        <v>9232.1703112074119</v>
      </c>
      <c r="J12" s="28">
        <f t="shared" si="2"/>
        <v>8362.3270321361088</v>
      </c>
      <c r="L12" s="179" t="s">
        <v>95</v>
      </c>
      <c r="M12" s="179"/>
      <c r="N12" s="128">
        <v>101155096735</v>
      </c>
      <c r="S12" s="9"/>
      <c r="T12" s="178"/>
      <c r="U12" s="178"/>
      <c r="V12" s="34" t="e" cm="1">
        <f t="array" ref="V12">_xlfn.IFS(T12="Pass",W12,T12="Fail",-W12)</f>
        <v>#N/A</v>
      </c>
      <c r="W12" s="34">
        <v>2</v>
      </c>
      <c r="X12" s="10"/>
      <c r="Y12" s="10"/>
      <c r="Z12" s="10"/>
      <c r="AA12" s="10"/>
      <c r="AB12" s="16" t="s">
        <v>24</v>
      </c>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4"/>
    </row>
    <row r="13" spans="2:88" ht="17.399999999999999">
      <c r="B13" s="26">
        <v>3</v>
      </c>
      <c r="C13" s="256">
        <f t="shared" ref="C13:C16" si="6">C12+1</f>
        <v>2028</v>
      </c>
      <c r="D13" s="27">
        <f t="shared" si="3"/>
        <v>14473.699806999995</v>
      </c>
      <c r="E13" s="27">
        <f t="shared" si="4"/>
        <v>13470.295319888035</v>
      </c>
      <c r="F13" s="244">
        <f t="shared" si="5"/>
        <v>11612.136375000002</v>
      </c>
      <c r="G13" s="247"/>
      <c r="H13" s="246">
        <f t="shared" si="0"/>
        <v>9516.6925664502342</v>
      </c>
      <c r="I13" s="27">
        <f t="shared" si="1"/>
        <v>8856.9378284790255</v>
      </c>
      <c r="J13" s="28">
        <f t="shared" si="2"/>
        <v>7635.1681597764482</v>
      </c>
      <c r="L13" s="179" t="s">
        <v>23</v>
      </c>
      <c r="M13" s="179"/>
      <c r="N13" s="33">
        <v>248.15</v>
      </c>
      <c r="S13" s="9"/>
      <c r="T13" s="177"/>
      <c r="U13" s="177"/>
      <c r="V13" s="23"/>
      <c r="W13" s="36"/>
      <c r="X13" s="16"/>
      <c r="Y13" s="16"/>
      <c r="Z13" s="10"/>
      <c r="AA13" s="16" t="s">
        <v>26</v>
      </c>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4"/>
    </row>
    <row r="14" spans="2:88" ht="17.399999999999999">
      <c r="B14" s="26">
        <v>4</v>
      </c>
      <c r="C14" s="256">
        <f t="shared" si="6"/>
        <v>2029</v>
      </c>
      <c r="D14" s="27">
        <f t="shared" si="3"/>
        <v>16355.280781909993</v>
      </c>
      <c r="E14" s="27">
        <f t="shared" si="4"/>
        <v>14861.229676392497</v>
      </c>
      <c r="F14" s="244">
        <f t="shared" si="5"/>
        <v>12192.743193750002</v>
      </c>
      <c r="G14" s="247"/>
      <c r="H14" s="246">
        <f t="shared" si="0"/>
        <v>9351.1848696424022</v>
      </c>
      <c r="I14" s="27">
        <f t="shared" si="1"/>
        <v>8496.9563009809153</v>
      </c>
      <c r="J14" s="28">
        <f t="shared" si="2"/>
        <v>6971.2404937089314</v>
      </c>
      <c r="L14" s="175" t="s">
        <v>25</v>
      </c>
      <c r="M14" s="175"/>
      <c r="N14" s="35">
        <f>(N11-N13)/N11</f>
        <v>0.46619077299016737</v>
      </c>
      <c r="S14" s="9"/>
      <c r="T14" s="178"/>
      <c r="U14" s="178"/>
      <c r="V14" s="34" t="e" cm="1">
        <f t="array" ref="V14">_xlfn.IFS(T14="Pass",W14,T14="Fail",-W14)</f>
        <v>#N/A</v>
      </c>
      <c r="W14" s="37">
        <v>2</v>
      </c>
      <c r="X14" s="16"/>
      <c r="Y14" s="16"/>
      <c r="Z14" s="10"/>
      <c r="AA14" s="16"/>
      <c r="AB14" s="10" t="s">
        <v>27</v>
      </c>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4"/>
    </row>
    <row r="15" spans="2:88" ht="17.399999999999999">
      <c r="B15" s="26">
        <v>5</v>
      </c>
      <c r="C15" s="256">
        <f t="shared" si="6"/>
        <v>2030</v>
      </c>
      <c r="D15" s="27">
        <f t="shared" si="3"/>
        <v>18481.46728355829</v>
      </c>
      <c r="E15" s="27">
        <f t="shared" si="4"/>
        <v>16395.791053549434</v>
      </c>
      <c r="F15" s="244">
        <f t="shared" si="5"/>
        <v>12802.380353437504</v>
      </c>
      <c r="G15" s="247"/>
      <c r="H15" s="246">
        <f t="shared" si="0"/>
        <v>9188.5555675616652</v>
      </c>
      <c r="I15" s="27">
        <f t="shared" si="1"/>
        <v>8151.6058686366159</v>
      </c>
      <c r="J15" s="28">
        <f t="shared" si="2"/>
        <v>6365.0456681690248</v>
      </c>
      <c r="S15" s="9"/>
      <c r="T15" s="178"/>
      <c r="U15" s="178"/>
      <c r="V15" s="34" t="e" cm="1">
        <f t="array" ref="V15">_xlfn.IFS(T15="Pass",W15,T15="Fail",-W15)</f>
        <v>#N/A</v>
      </c>
      <c r="W15" s="37">
        <v>4</v>
      </c>
      <c r="X15" s="16"/>
      <c r="Y15" s="16"/>
      <c r="Z15" s="10"/>
      <c r="AA15" s="16"/>
      <c r="AB15" s="10"/>
      <c r="AC15" s="10" t="s">
        <v>28</v>
      </c>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4"/>
    </row>
    <row r="16" spans="2:88" ht="17.399999999999999">
      <c r="B16" s="26">
        <v>5</v>
      </c>
      <c r="C16" s="256">
        <f t="shared" si="6"/>
        <v>2031</v>
      </c>
      <c r="D16" s="38">
        <f>D15*D6</f>
        <v>451621.53107102413</v>
      </c>
      <c r="E16" s="38">
        <f>E15*D7</f>
        <v>309105.54630277917</v>
      </c>
      <c r="F16" s="245">
        <f>F15*D8</f>
        <v>120324.91642871858</v>
      </c>
      <c r="G16" s="249"/>
      <c r="H16" s="246">
        <f t="shared" si="0"/>
        <v>224535.71840830697</v>
      </c>
      <c r="I16" s="27">
        <f t="shared" si="1"/>
        <v>153680.08637341013</v>
      </c>
      <c r="J16" s="28">
        <f t="shared" si="2"/>
        <v>59822.749125069873</v>
      </c>
      <c r="S16" s="9"/>
      <c r="T16" s="178"/>
      <c r="U16" s="178"/>
      <c r="V16" s="34" t="e" cm="1">
        <f t="array" ref="V16">_xlfn.IFS(T16="Pass",W16,T16="Fail",-W16)</f>
        <v>#N/A</v>
      </c>
      <c r="W16" s="37">
        <v>1</v>
      </c>
      <c r="X16" s="16"/>
      <c r="Y16" s="16"/>
      <c r="Z16" s="10"/>
      <c r="AA16" s="10"/>
      <c r="AB16" s="10"/>
      <c r="AC16" s="10"/>
      <c r="AD16" s="16" t="s">
        <v>29</v>
      </c>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4"/>
    </row>
    <row r="17" spans="2:70" ht="17.399999999999999">
      <c r="C17" s="124"/>
      <c r="D17" s="125"/>
      <c r="E17" s="125"/>
      <c r="F17" s="125"/>
      <c r="G17" s="125"/>
      <c r="H17" s="80"/>
      <c r="I17" s="126" t="s">
        <v>33</v>
      </c>
      <c r="J17" s="99" t="s">
        <v>94</v>
      </c>
      <c r="S17" s="9"/>
      <c r="T17" s="101"/>
      <c r="U17" s="101"/>
      <c r="V17" s="34"/>
      <c r="W17" s="37"/>
      <c r="X17" s="16"/>
      <c r="Y17" s="16"/>
      <c r="Z17" s="10"/>
      <c r="AA17" s="10"/>
      <c r="AB17" s="10"/>
      <c r="AC17" s="10"/>
      <c r="AD17" s="16"/>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4"/>
    </row>
    <row r="18" spans="2:70" ht="15.6">
      <c r="H18" s="39" t="s">
        <v>30</v>
      </c>
      <c r="I18" s="127">
        <f>SUM(H11:H16)*1000000</f>
        <v>272133828841.07278</v>
      </c>
      <c r="J18" s="127">
        <f>I18/$L$11</f>
        <v>667.58879983895667</v>
      </c>
    </row>
    <row r="19" spans="2:70" ht="15.6">
      <c r="H19" s="39" t="s">
        <v>31</v>
      </c>
      <c r="I19" s="127">
        <f>SUM(I11:I16)*1000000</f>
        <v>198041056552.91049</v>
      </c>
      <c r="J19" s="127">
        <f t="shared" ref="J19:J20" si="7">I19/$L$11</f>
        <v>485.82710876495844</v>
      </c>
    </row>
    <row r="20" spans="2:70" ht="15.6">
      <c r="H20" s="39" t="s">
        <v>32</v>
      </c>
      <c r="I20" s="127">
        <f>SUM(J11:J16)*1000000</f>
        <v>98315269609.295166</v>
      </c>
      <c r="J20" s="127">
        <f t="shared" si="7"/>
        <v>241.18343950043572</v>
      </c>
    </row>
    <row r="21" spans="2:70" ht="15.6">
      <c r="K21" s="40"/>
    </row>
    <row r="22" spans="2:70" ht="15.6">
      <c r="B22" s="43"/>
      <c r="C22" s="55"/>
      <c r="D22" s="118"/>
      <c r="E22" s="119"/>
      <c r="F22" s="55"/>
      <c r="G22" s="250"/>
      <c r="H22" s="56"/>
    </row>
    <row r="23" spans="2:70" ht="19.05" customHeight="1">
      <c r="B23" s="122" t="s">
        <v>34</v>
      </c>
      <c r="C23" s="123" t="s">
        <v>100</v>
      </c>
      <c r="D23" s="123" t="s">
        <v>101</v>
      </c>
      <c r="E23" s="102"/>
      <c r="F23" s="102"/>
      <c r="G23" s="251"/>
      <c r="H23" s="120"/>
    </row>
    <row r="24" spans="2:70" ht="15.6">
      <c r="B24" s="115">
        <v>2016</v>
      </c>
      <c r="C24" s="46">
        <v>2199.7280000000001</v>
      </c>
      <c r="D24" s="1" t="s">
        <v>77</v>
      </c>
      <c r="E24" s="103"/>
      <c r="F24" s="103"/>
      <c r="G24" s="252"/>
      <c r="H24" s="117"/>
      <c r="S24">
        <v>2015</v>
      </c>
      <c r="T24">
        <v>2014</v>
      </c>
      <c r="U24">
        <v>2013</v>
      </c>
      <c r="V24">
        <v>2012</v>
      </c>
      <c r="W24">
        <v>2011</v>
      </c>
      <c r="X24">
        <v>2010</v>
      </c>
      <c r="Y24">
        <v>2009</v>
      </c>
      <c r="Z24">
        <v>2008</v>
      </c>
      <c r="AA24">
        <v>2007</v>
      </c>
      <c r="AB24">
        <v>2006</v>
      </c>
      <c r="AC24">
        <v>2005</v>
      </c>
      <c r="AD24">
        <v>2004</v>
      </c>
      <c r="AE24">
        <v>2003</v>
      </c>
      <c r="AF24">
        <v>2002</v>
      </c>
      <c r="AG24">
        <v>2001</v>
      </c>
      <c r="AH24">
        <v>2000</v>
      </c>
      <c r="AI24">
        <v>1999</v>
      </c>
      <c r="AJ24">
        <v>1998</v>
      </c>
      <c r="AK24">
        <v>1997</v>
      </c>
      <c r="AL24">
        <v>1996</v>
      </c>
      <c r="AM24">
        <v>1995</v>
      </c>
      <c r="AN24">
        <v>1994</v>
      </c>
      <c r="AO24">
        <v>1993</v>
      </c>
      <c r="AP24">
        <v>1992</v>
      </c>
      <c r="AQ24">
        <v>1991</v>
      </c>
      <c r="AR24">
        <v>1990</v>
      </c>
      <c r="AS24">
        <v>1989</v>
      </c>
      <c r="AT24">
        <v>1988</v>
      </c>
      <c r="AU24">
        <v>1987</v>
      </c>
      <c r="AV24">
        <v>1986</v>
      </c>
      <c r="AW24">
        <v>1985</v>
      </c>
      <c r="AX24">
        <v>1984</v>
      </c>
      <c r="AY24">
        <v>1983</v>
      </c>
      <c r="AZ24">
        <v>1982</v>
      </c>
      <c r="BA24">
        <v>1981</v>
      </c>
      <c r="BB24">
        <v>1980</v>
      </c>
      <c r="BC24">
        <v>1979</v>
      </c>
      <c r="BD24">
        <v>1978</v>
      </c>
      <c r="BE24">
        <v>1977</v>
      </c>
      <c r="BF24">
        <v>1976</v>
      </c>
      <c r="BG24">
        <v>1975</v>
      </c>
      <c r="BH24">
        <v>1974</v>
      </c>
      <c r="BI24">
        <v>1973</v>
      </c>
      <c r="BJ24">
        <v>1972</v>
      </c>
      <c r="BK24">
        <v>1971</v>
      </c>
      <c r="BL24">
        <v>1970</v>
      </c>
      <c r="BM24">
        <v>1969</v>
      </c>
      <c r="BN24">
        <v>1968</v>
      </c>
      <c r="BO24">
        <v>1967</v>
      </c>
      <c r="BP24">
        <v>1966</v>
      </c>
      <c r="BQ24">
        <v>1965</v>
      </c>
      <c r="BR24">
        <v>1964</v>
      </c>
    </row>
    <row r="25" spans="2:70" ht="15.6">
      <c r="B25" s="115">
        <v>2017</v>
      </c>
      <c r="C25" s="46">
        <v>2912.8530000000001</v>
      </c>
      <c r="D25" s="8">
        <f>RATE(1,0,-C24,C25)</f>
        <v>0.3241878086745269</v>
      </c>
      <c r="H25" s="57"/>
      <c r="I25" s="106"/>
      <c r="J25" s="106"/>
      <c r="K25" s="106"/>
      <c r="L25" s="106"/>
      <c r="M25" s="106"/>
      <c r="N25" s="106"/>
      <c r="O25" s="106"/>
      <c r="P25" s="106"/>
      <c r="Q25" s="106"/>
      <c r="R25" s="106"/>
    </row>
    <row r="26" spans="2:70" ht="15.6">
      <c r="B26" s="115">
        <v>2018</v>
      </c>
      <c r="C26" s="46">
        <v>4029.3040000000001</v>
      </c>
      <c r="D26" s="8">
        <f t="shared" ref="D26:D33" si="8">RATE(1,0,-C25,C26)</f>
        <v>0.38328436072812477</v>
      </c>
      <c r="H26" s="57"/>
    </row>
    <row r="27" spans="2:70" ht="15.6">
      <c r="B27" s="115">
        <v>2019</v>
      </c>
      <c r="C27" s="46">
        <v>4421.8130000000001</v>
      </c>
      <c r="D27" s="8">
        <f t="shared" si="8"/>
        <v>9.7413597981189787E-2</v>
      </c>
      <c r="H27" s="57"/>
    </row>
    <row r="28" spans="2:70" ht="15.6">
      <c r="B28" s="115">
        <v>2020</v>
      </c>
      <c r="C28" s="46">
        <v>5727</v>
      </c>
      <c r="D28" s="8">
        <f t="shared" si="8"/>
        <v>0.29517010330378057</v>
      </c>
      <c r="H28" s="57"/>
    </row>
    <row r="29" spans="2:70" ht="15.6">
      <c r="B29" s="115">
        <v>2021</v>
      </c>
      <c r="C29" s="46">
        <v>7230</v>
      </c>
      <c r="D29" s="8">
        <f t="shared" si="8"/>
        <v>0.26244106862231525</v>
      </c>
      <c r="H29" s="57"/>
    </row>
    <row r="30" spans="2:70" ht="15.6">
      <c r="B30" s="115">
        <v>2022</v>
      </c>
      <c r="C30" s="46">
        <v>7838</v>
      </c>
      <c r="D30" s="8">
        <f t="shared" si="8"/>
        <v>8.4094052558782897E-2</v>
      </c>
      <c r="F30" s="100" t="s">
        <v>84</v>
      </c>
      <c r="G30" s="253"/>
      <c r="H30" s="130" t="s">
        <v>98</v>
      </c>
    </row>
    <row r="31" spans="2:70" ht="15.6">
      <c r="B31" s="115">
        <v>2023</v>
      </c>
      <c r="C31" s="46">
        <v>7302</v>
      </c>
      <c r="D31" s="8">
        <f t="shared" si="8"/>
        <v>-6.8384792038785364E-2</v>
      </c>
      <c r="E31" s="1" t="s">
        <v>78</v>
      </c>
      <c r="F31" s="8">
        <f>RATE(10,0,-C24,C33)</f>
        <v>0.16385137698451516</v>
      </c>
      <c r="G31" s="237"/>
      <c r="H31" s="62">
        <f>MEDIAN(D25:D33)</f>
        <v>0.24515888778550146</v>
      </c>
    </row>
    <row r="32" spans="2:70" ht="15.6">
      <c r="B32" s="115">
        <v>2024</v>
      </c>
      <c r="C32" s="46">
        <v>8056</v>
      </c>
      <c r="D32" s="8">
        <f t="shared" si="8"/>
        <v>0.10325938099150919</v>
      </c>
      <c r="E32" s="1" t="s">
        <v>79</v>
      </c>
      <c r="F32" s="8">
        <f>RATE(5,0,-C28,C33)</f>
        <v>0.11862213674668969</v>
      </c>
      <c r="G32" s="237"/>
      <c r="H32" s="62">
        <f>MEDIAN(D29:D33)</f>
        <v>0.10325938099150919</v>
      </c>
    </row>
    <row r="33" spans="2:17" ht="15.6">
      <c r="B33" s="115">
        <v>2025</v>
      </c>
      <c r="C33" s="46">
        <v>10031</v>
      </c>
      <c r="D33" s="8">
        <f t="shared" si="8"/>
        <v>0.24515888778550146</v>
      </c>
      <c r="E33" s="1" t="s">
        <v>80</v>
      </c>
      <c r="F33" s="8">
        <f>RATE(3,0,-C30,C33)</f>
        <v>8.5707881254068918E-2</v>
      </c>
      <c r="G33" s="237"/>
      <c r="H33" s="62">
        <f>MEDIAN(D31:D33)</f>
        <v>0.10325938099150919</v>
      </c>
    </row>
    <row r="34" spans="2:17">
      <c r="B34" s="48"/>
      <c r="C34" s="58"/>
      <c r="D34" s="58"/>
      <c r="E34" s="58"/>
      <c r="F34" s="58"/>
      <c r="G34" s="241"/>
      <c r="H34" s="65"/>
    </row>
    <row r="35" spans="2:17" ht="19.05" customHeight="1"/>
    <row r="36" spans="2:17" ht="19.05" customHeight="1">
      <c r="B36" s="43"/>
      <c r="C36" s="55"/>
      <c r="D36" s="55"/>
      <c r="E36" s="55"/>
      <c r="F36" s="56"/>
      <c r="G36" s="242"/>
    </row>
    <row r="37" spans="2:17" ht="15.6">
      <c r="B37" s="122" t="s">
        <v>34</v>
      </c>
      <c r="C37" s="100" t="s">
        <v>102</v>
      </c>
      <c r="F37" s="57"/>
      <c r="G37" s="242"/>
    </row>
    <row r="38" spans="2:17" ht="15.6">
      <c r="B38" s="115">
        <v>2016</v>
      </c>
      <c r="C38" s="73">
        <v>22.54</v>
      </c>
      <c r="F38" s="57"/>
      <c r="G38" s="242"/>
    </row>
    <row r="39" spans="2:17" ht="15.6">
      <c r="B39" s="115">
        <v>2017</v>
      </c>
      <c r="C39" s="73">
        <v>30.38</v>
      </c>
      <c r="F39" s="57"/>
      <c r="G39" s="242"/>
      <c r="H39" s="106"/>
      <c r="I39" s="106"/>
      <c r="J39" s="106"/>
      <c r="K39" s="106"/>
      <c r="L39" s="106"/>
      <c r="M39" s="106"/>
      <c r="N39" s="106"/>
      <c r="O39" s="106"/>
      <c r="P39" s="106"/>
      <c r="Q39" s="106"/>
    </row>
    <row r="40" spans="2:17" ht="15.6">
      <c r="B40" s="115">
        <v>2018</v>
      </c>
      <c r="C40" s="73">
        <v>30.39</v>
      </c>
      <c r="F40" s="57"/>
      <c r="G40" s="242"/>
    </row>
    <row r="41" spans="2:17" ht="15.6">
      <c r="B41" s="115">
        <v>2019</v>
      </c>
      <c r="C41" s="73">
        <v>33.89</v>
      </c>
      <c r="F41" s="57"/>
      <c r="G41" s="242"/>
    </row>
    <row r="42" spans="2:17" ht="15.6">
      <c r="B42" s="115">
        <v>2020</v>
      </c>
      <c r="C42" s="73">
        <v>39.96</v>
      </c>
      <c r="F42" s="57"/>
      <c r="G42" s="242"/>
    </row>
    <row r="43" spans="2:17" ht="15.6">
      <c r="B43" s="115">
        <v>2021</v>
      </c>
      <c r="C43" s="73">
        <v>40.57</v>
      </c>
      <c r="F43" s="57"/>
      <c r="G43" s="242"/>
    </row>
    <row r="44" spans="2:17" ht="15.6">
      <c r="B44" s="115">
        <v>2022</v>
      </c>
      <c r="C44" s="73">
        <v>20.260000000000002</v>
      </c>
      <c r="D44" s="174" t="s">
        <v>86</v>
      </c>
      <c r="E44" s="174"/>
      <c r="F44" s="57"/>
      <c r="G44" s="242"/>
    </row>
    <row r="45" spans="2:17" ht="15.6">
      <c r="B45" s="115">
        <v>2023</v>
      </c>
      <c r="C45" s="73">
        <v>38.19</v>
      </c>
      <c r="D45" t="s">
        <v>87</v>
      </c>
      <c r="E45" s="121">
        <f>AVERAGE(C38:C47)</f>
        <v>29.772999999999996</v>
      </c>
      <c r="F45" s="57"/>
      <c r="G45" s="242"/>
    </row>
    <row r="46" spans="2:17" ht="15.6">
      <c r="B46" s="115">
        <v>2024</v>
      </c>
      <c r="C46" s="73">
        <v>28.19</v>
      </c>
      <c r="D46" t="s">
        <v>88</v>
      </c>
      <c r="E46" s="121">
        <f>AVERAGE(C43:C47)</f>
        <v>28.113999999999997</v>
      </c>
      <c r="F46" s="57"/>
      <c r="G46" s="242"/>
    </row>
    <row r="47" spans="2:17" ht="15.6">
      <c r="B47" s="115">
        <v>2025</v>
      </c>
      <c r="C47" s="73">
        <v>13.36</v>
      </c>
      <c r="D47" t="s">
        <v>89</v>
      </c>
      <c r="E47" s="121">
        <f>AVERAGE(C45:C47)</f>
        <v>26.58</v>
      </c>
      <c r="F47" s="57"/>
      <c r="G47" s="242"/>
    </row>
    <row r="48" spans="2:17">
      <c r="B48" s="48"/>
      <c r="C48" s="58"/>
      <c r="D48" s="58"/>
      <c r="E48" s="58"/>
      <c r="F48" s="59"/>
      <c r="G48" s="242"/>
    </row>
    <row r="50" spans="2:12" ht="15.6">
      <c r="B50" s="134"/>
      <c r="C50" s="135"/>
      <c r="D50" s="134"/>
      <c r="E50" s="135"/>
      <c r="F50" s="134"/>
      <c r="G50" s="254"/>
      <c r="H50" s="135"/>
      <c r="I50" s="134"/>
      <c r="J50" s="135"/>
      <c r="K50" s="134"/>
      <c r="L50" s="135"/>
    </row>
    <row r="51" spans="2:12" ht="15">
      <c r="B51" s="106"/>
      <c r="C51" s="106"/>
      <c r="D51" s="106"/>
      <c r="E51" s="106"/>
      <c r="F51" s="106"/>
      <c r="G51" s="255"/>
      <c r="H51" s="106"/>
      <c r="I51" s="106"/>
      <c r="J51" s="106"/>
      <c r="K51" s="106"/>
      <c r="L51" s="106"/>
    </row>
    <row r="54" spans="2:12">
      <c r="E54" s="20"/>
    </row>
    <row r="55" spans="2:12">
      <c r="E55" s="32"/>
    </row>
    <row r="57" spans="2:12">
      <c r="E57" s="49"/>
    </row>
    <row r="60" spans="2:12">
      <c r="E60" s="49"/>
      <c r="F60" s="49"/>
      <c r="G60" s="243"/>
    </row>
    <row r="96" spans="19:70" ht="17.399999999999999">
      <c r="S96" s="9"/>
      <c r="T96" s="178"/>
      <c r="U96" s="178"/>
      <c r="V96" s="34" t="e" cm="1">
        <f t="array" ref="V96">_xlfn.IFS(T96="Pass",W96,T96="Fail",-W96)</f>
        <v>#N/A</v>
      </c>
      <c r="W96" s="34">
        <v>3</v>
      </c>
      <c r="X96" s="10"/>
      <c r="Y96" s="10"/>
      <c r="Z96" s="10"/>
      <c r="AA96" s="10"/>
      <c r="AB96" s="10" t="s">
        <v>38</v>
      </c>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4"/>
    </row>
    <row r="97" spans="19:70" ht="17.399999999999999">
      <c r="S97" s="9"/>
      <c r="T97" s="177"/>
      <c r="U97" s="177"/>
      <c r="V97" s="23"/>
      <c r="W97" s="23"/>
      <c r="X97" s="10"/>
      <c r="Y97" s="10"/>
      <c r="Z97" s="10"/>
      <c r="AA97" s="10"/>
      <c r="AB97" s="10"/>
      <c r="AC97" s="10" t="s">
        <v>39</v>
      </c>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4"/>
    </row>
    <row r="98" spans="19:70" ht="17.399999999999999">
      <c r="S98" s="9"/>
      <c r="T98" s="180" t="s">
        <v>40</v>
      </c>
      <c r="U98" s="180"/>
      <c r="V98" s="181" t="e">
        <f>SUM(V12:V97)</f>
        <v>#N/A</v>
      </c>
      <c r="W98" s="181"/>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4"/>
    </row>
    <row r="99" spans="19:70" ht="17.399999999999999">
      <c r="S99" s="50"/>
      <c r="T99" s="51"/>
      <c r="U99" s="51"/>
      <c r="V99" s="52"/>
      <c r="W99" s="53">
        <f>SUM(W12:W97)</f>
        <v>2023</v>
      </c>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4"/>
    </row>
  </sheetData>
  <mergeCells count="17">
    <mergeCell ref="D44:E44"/>
    <mergeCell ref="T96:U96"/>
    <mergeCell ref="T97:U97"/>
    <mergeCell ref="T98:U98"/>
    <mergeCell ref="V98:W98"/>
    <mergeCell ref="L13:M13"/>
    <mergeCell ref="T13:U13"/>
    <mergeCell ref="L14:M14"/>
    <mergeCell ref="T14:U14"/>
    <mergeCell ref="T15:U15"/>
    <mergeCell ref="T16:U16"/>
    <mergeCell ref="T8:W8"/>
    <mergeCell ref="T9:U9"/>
    <mergeCell ref="T10:U10"/>
    <mergeCell ref="T11:U11"/>
    <mergeCell ref="L12:M12"/>
    <mergeCell ref="T12:U12"/>
  </mergeCells>
  <conditionalFormatting sqref="N14">
    <cfRule type="cellIs" dxfId="18" priority="1" operator="lessThan">
      <formula>0</formula>
    </cfRule>
    <cfRule type="cellIs" dxfId="17" priority="2" operator="greaterThan">
      <formula>0</formula>
    </cfRule>
  </conditionalFormatting>
  <conditionalFormatting sqref="V98:W98">
    <cfRule type="cellIs" dxfId="16" priority="3" operator="between">
      <formula>$H$99*0.75</formula>
      <formula>$H$99*0.9</formula>
    </cfRule>
    <cfRule type="cellIs" dxfId="15" priority="4" operator="lessThan">
      <formula>$H$99*0.75</formula>
    </cfRule>
    <cfRule type="cellIs" dxfId="14" priority="5" operator="greaterThan">
      <formula>$H$99*0.9</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B5F8A-A6AB-4E12-B001-FC53883B0D7E}">
  <dimension ref="B3:CJ73"/>
  <sheetViews>
    <sheetView showGridLines="0" zoomScale="80" zoomScaleNormal="80" workbookViewId="0">
      <selection activeCell="D11" sqref="D11"/>
    </sheetView>
  </sheetViews>
  <sheetFormatPr defaultColWidth="11.88671875" defaultRowHeight="14.4" outlineLevelRow="1"/>
  <cols>
    <col min="1" max="1" width="2.77734375" customWidth="1"/>
    <col min="2" max="2" width="22" bestFit="1" customWidth="1"/>
    <col min="3" max="3" width="12.77734375" customWidth="1"/>
    <col min="4" max="4" width="16.6640625" bestFit="1" customWidth="1"/>
    <col min="5" max="5" width="16.88671875" bestFit="1" customWidth="1"/>
    <col min="6" max="6" width="19.77734375" bestFit="1" customWidth="1"/>
    <col min="7" max="7" width="2.77734375" customWidth="1"/>
    <col min="8" max="8" width="24.77734375" bestFit="1" customWidth="1"/>
    <col min="9" max="9" width="25" bestFit="1" customWidth="1"/>
    <col min="10" max="10" width="27.21875" bestFit="1" customWidth="1"/>
    <col min="11" max="11" width="13" bestFit="1" customWidth="1"/>
    <col min="12" max="12" width="23.109375" bestFit="1" customWidth="1"/>
    <col min="13" max="13" width="19.44140625" bestFit="1" customWidth="1"/>
    <col min="14" max="14" width="23.109375" bestFit="1" customWidth="1"/>
    <col min="15" max="15" width="14.77734375" bestFit="1" customWidth="1"/>
    <col min="19" max="21" width="5" hidden="1" customWidth="1"/>
    <col min="22" max="22" width="6.6640625" hidden="1" customWidth="1"/>
    <col min="23" max="23" width="8.88671875" hidden="1" customWidth="1"/>
    <col min="24" max="70" width="5" hidden="1" customWidth="1"/>
    <col min="73" max="73" width="8.77734375" customWidth="1"/>
    <col min="74" max="74" width="11.88671875" bestFit="1" customWidth="1"/>
    <col min="75" max="75" width="10.6640625" bestFit="1" customWidth="1"/>
    <col min="76" max="76" width="8.77734375" customWidth="1"/>
    <col min="78" max="78" width="12.21875" bestFit="1" customWidth="1"/>
  </cols>
  <sheetData>
    <row r="3" spans="2:88">
      <c r="B3" s="1" t="s">
        <v>0</v>
      </c>
      <c r="C3" s="2">
        <v>0.15</v>
      </c>
      <c r="E3" s="1"/>
      <c r="H3" s="3"/>
      <c r="I3" s="3"/>
    </row>
    <row r="5" spans="2:88">
      <c r="B5" s="112" t="s">
        <v>90</v>
      </c>
      <c r="C5" s="113" t="s">
        <v>75</v>
      </c>
      <c r="D5" s="114" t="s">
        <v>36</v>
      </c>
      <c r="E5" s="131"/>
      <c r="H5" s="3"/>
      <c r="I5" s="3"/>
    </row>
    <row r="6" spans="2:88" ht="17.399999999999999">
      <c r="B6" s="111" t="s">
        <v>92</v>
      </c>
      <c r="C6" s="107">
        <v>0.13</v>
      </c>
      <c r="D6" s="108">
        <f>AVERAGE(C38:C47)</f>
        <v>12.351000000000001</v>
      </c>
      <c r="E6" s="257" t="s">
        <v>167</v>
      </c>
      <c r="H6" s="3"/>
      <c r="I6" s="3"/>
      <c r="S6" s="4"/>
      <c r="T6" s="5"/>
      <c r="U6" s="5"/>
      <c r="V6" s="6"/>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7"/>
      <c r="CA6" s="102"/>
      <c r="CB6" s="102"/>
      <c r="CC6" s="102"/>
      <c r="CD6" s="102"/>
      <c r="CE6" s="102"/>
      <c r="CF6" s="106"/>
      <c r="CG6" s="106"/>
      <c r="CH6" s="106"/>
      <c r="CI6" s="106"/>
      <c r="CJ6" s="106"/>
    </row>
    <row r="7" spans="2:88" ht="21">
      <c r="B7" s="111" t="s">
        <v>91</v>
      </c>
      <c r="C7" s="109">
        <f>D73</f>
        <v>9.8664371135137902E-2</v>
      </c>
      <c r="D7" s="108">
        <f>MIN(C38:C46)</f>
        <v>8.4700000000000006</v>
      </c>
      <c r="E7" s="98" t="s">
        <v>166</v>
      </c>
      <c r="F7" s="8"/>
      <c r="G7" s="8"/>
      <c r="H7" s="8"/>
      <c r="I7" s="8"/>
      <c r="S7" s="9"/>
      <c r="T7" s="10"/>
      <c r="U7" s="11"/>
      <c r="V7" s="12"/>
      <c r="W7" s="11"/>
      <c r="X7" s="10"/>
      <c r="Y7" s="13" t="s">
        <v>1</v>
      </c>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4"/>
      <c r="CA7" s="103"/>
      <c r="CB7" s="103"/>
      <c r="CC7" s="103"/>
      <c r="CD7" s="103"/>
      <c r="CE7" s="103"/>
      <c r="CF7" s="103"/>
      <c r="CG7" s="103"/>
      <c r="CH7" s="103"/>
      <c r="CI7" s="103"/>
      <c r="CJ7" s="103"/>
    </row>
    <row r="8" spans="2:88" ht="17.399999999999999">
      <c r="B8" s="111" t="s">
        <v>93</v>
      </c>
      <c r="C8" s="110">
        <v>0.04</v>
      </c>
      <c r="D8" s="108">
        <v>2.5</v>
      </c>
      <c r="E8" s="98" t="s">
        <v>170</v>
      </c>
      <c r="L8" t="e" vm="1">
        <v>#VALUE!</v>
      </c>
      <c r="S8" s="9"/>
      <c r="T8" s="176" t="s">
        <v>2</v>
      </c>
      <c r="U8" s="176"/>
      <c r="V8" s="176"/>
      <c r="W8" s="176"/>
      <c r="X8" s="16"/>
      <c r="Y8" s="16"/>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4"/>
      <c r="CC8" s="102"/>
      <c r="CD8" s="104"/>
      <c r="CE8" s="104"/>
      <c r="CF8" s="104"/>
      <c r="CG8" s="104"/>
    </row>
    <row r="9" spans="2:88" ht="17.399999999999999">
      <c r="J9" s="17" t="s">
        <v>3</v>
      </c>
      <c r="S9" s="9"/>
      <c r="T9" s="176" t="s">
        <v>4</v>
      </c>
      <c r="U9" s="176"/>
      <c r="V9" s="15"/>
      <c r="W9" s="19" t="s">
        <v>5</v>
      </c>
      <c r="X9" s="16"/>
      <c r="Y9" s="16" t="s">
        <v>6</v>
      </c>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4"/>
      <c r="CC9" s="103"/>
      <c r="CD9" s="103"/>
      <c r="CE9" s="103"/>
      <c r="CF9" s="103"/>
      <c r="CG9" s="103"/>
    </row>
    <row r="10" spans="2:88" ht="18">
      <c r="B10" s="21" t="s">
        <v>7</v>
      </c>
      <c r="C10" s="21" t="s">
        <v>8</v>
      </c>
      <c r="D10" s="21" t="s">
        <v>150</v>
      </c>
      <c r="E10" s="21" t="s">
        <v>151</v>
      </c>
      <c r="F10" s="172" t="s">
        <v>152</v>
      </c>
      <c r="G10" s="248"/>
      <c r="H10" s="173" t="s">
        <v>153</v>
      </c>
      <c r="I10" s="21" t="s">
        <v>154</v>
      </c>
      <c r="J10" s="21" t="s">
        <v>155</v>
      </c>
      <c r="L10" s="22" t="s">
        <v>16</v>
      </c>
      <c r="M10" s="22" t="s">
        <v>17</v>
      </c>
      <c r="N10" s="22" t="s">
        <v>18</v>
      </c>
      <c r="S10" s="9"/>
      <c r="T10" s="177"/>
      <c r="U10" s="177"/>
      <c r="V10" s="23"/>
      <c r="W10" s="24" t="s">
        <v>19</v>
      </c>
      <c r="X10" s="16"/>
      <c r="Y10" s="16"/>
      <c r="Z10" s="25" t="s">
        <v>20</v>
      </c>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4"/>
    </row>
    <row r="11" spans="2:88" ht="17.399999999999999">
      <c r="B11" s="26">
        <v>1</v>
      </c>
      <c r="C11" s="256">
        <v>2026</v>
      </c>
      <c r="D11" s="27">
        <f>(C33)*(1+$C$6)</f>
        <v>26858.969999999998</v>
      </c>
      <c r="E11" s="27">
        <f>(C33)*(1+$C$7)</f>
        <v>26114.15343751109</v>
      </c>
      <c r="F11" s="244">
        <f>(C33)*(1+$C$8)</f>
        <v>24719.760000000002</v>
      </c>
      <c r="G11" s="247"/>
      <c r="H11" s="246">
        <f t="shared" ref="H11:H16" si="0">PV($C$3,B11,0,D11)*-1</f>
        <v>23355.626086956523</v>
      </c>
      <c r="I11" s="27">
        <f t="shared" ref="I11:I16" si="1">PV($C$3,B11,0,E11)*-1</f>
        <v>22707.959510879209</v>
      </c>
      <c r="J11" s="28">
        <f t="shared" ref="J11:J16" si="2">PV($C$3,B11,0,F11)*-1</f>
        <v>21495.443478260873</v>
      </c>
      <c r="L11" s="29">
        <v>407636900</v>
      </c>
      <c r="M11" s="30">
        <f>AVERAGE(I18:I20)</f>
        <v>256835814829.49634</v>
      </c>
      <c r="N11" s="31">
        <f>M11/L11</f>
        <v>630.06026890474425</v>
      </c>
      <c r="S11" s="9"/>
      <c r="T11" s="177"/>
      <c r="U11" s="177"/>
      <c r="V11" s="23"/>
      <c r="W11" s="23"/>
      <c r="X11" s="10"/>
      <c r="Y11" s="10"/>
      <c r="Z11" s="10"/>
      <c r="AA11" s="16" t="s">
        <v>22</v>
      </c>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4"/>
    </row>
    <row r="12" spans="2:88" ht="17.399999999999999">
      <c r="B12" s="26">
        <v>2</v>
      </c>
      <c r="C12" s="256">
        <f>C11+1</f>
        <v>2027</v>
      </c>
      <c r="D12" s="27">
        <f t="shared" ref="D12:D15" si="3">(D11)*(1+$C$6)</f>
        <v>30350.636099999996</v>
      </c>
      <c r="E12" s="27">
        <f t="shared" ref="E12:E15" si="4">(E11)*(1+$C$7)</f>
        <v>28690.68996414962</v>
      </c>
      <c r="F12" s="244">
        <f t="shared" ref="F12:F15" si="5">(F11)*(1+$C$8)</f>
        <v>25708.550400000004</v>
      </c>
      <c r="G12" s="247"/>
      <c r="H12" s="246">
        <f t="shared" si="0"/>
        <v>22949.441285444234</v>
      </c>
      <c r="I12" s="27">
        <f t="shared" si="1"/>
        <v>21694.283526767202</v>
      </c>
      <c r="J12" s="28">
        <f t="shared" si="2"/>
        <v>19439.357580340271</v>
      </c>
      <c r="L12" s="179" t="s">
        <v>95</v>
      </c>
      <c r="M12" s="179"/>
      <c r="N12" s="128">
        <v>101155096735</v>
      </c>
      <c r="S12" s="9"/>
      <c r="T12" s="178"/>
      <c r="U12" s="178"/>
      <c r="V12" s="34" t="e" cm="1">
        <f t="array" ref="V12">_xlfn.IFS(T12="Pass",W12,T12="Fail",-W12)</f>
        <v>#N/A</v>
      </c>
      <c r="W12" s="34">
        <v>2</v>
      </c>
      <c r="X12" s="10"/>
      <c r="Y12" s="10"/>
      <c r="Z12" s="10"/>
      <c r="AA12" s="10"/>
      <c r="AB12" s="16" t="s">
        <v>24</v>
      </c>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4"/>
    </row>
    <row r="13" spans="2:88" ht="17.399999999999999">
      <c r="B13" s="26">
        <v>3</v>
      </c>
      <c r="C13" s="256">
        <f t="shared" ref="C13:C16" si="6">C12+1</f>
        <v>2028</v>
      </c>
      <c r="D13" s="27">
        <f t="shared" si="3"/>
        <v>34296.218792999993</v>
      </c>
      <c r="E13" s="27">
        <f t="shared" si="4"/>
        <v>31521.438846895653</v>
      </c>
      <c r="F13" s="244">
        <f t="shared" si="5"/>
        <v>26736.892416000006</v>
      </c>
      <c r="G13" s="247"/>
      <c r="H13" s="246">
        <f t="shared" si="0"/>
        <v>22550.320567436509</v>
      </c>
      <c r="I13" s="27">
        <f t="shared" si="1"/>
        <v>20725.857711446151</v>
      </c>
      <c r="J13" s="28">
        <f t="shared" si="2"/>
        <v>17579.940768307726</v>
      </c>
      <c r="L13" s="179" t="s">
        <v>23</v>
      </c>
      <c r="M13" s="179"/>
      <c r="N13" s="33">
        <v>248.15</v>
      </c>
      <c r="S13" s="9"/>
      <c r="T13" s="177"/>
      <c r="U13" s="177"/>
      <c r="V13" s="23"/>
      <c r="W13" s="36"/>
      <c r="X13" s="16"/>
      <c r="Y13" s="16"/>
      <c r="Z13" s="10"/>
      <c r="AA13" s="16" t="s">
        <v>26</v>
      </c>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4"/>
    </row>
    <row r="14" spans="2:88" ht="17.399999999999999">
      <c r="B14" s="26">
        <v>4</v>
      </c>
      <c r="C14" s="256">
        <f t="shared" si="6"/>
        <v>2029</v>
      </c>
      <c r="D14" s="27">
        <f t="shared" si="3"/>
        <v>38754.727236089988</v>
      </c>
      <c r="E14" s="27">
        <f t="shared" si="4"/>
        <v>34631.481787999313</v>
      </c>
      <c r="F14" s="244">
        <f t="shared" si="5"/>
        <v>27806.368112640008</v>
      </c>
      <c r="G14" s="247"/>
      <c r="H14" s="246">
        <f t="shared" si="0"/>
        <v>22158.141079307177</v>
      </c>
      <c r="I14" s="27">
        <f t="shared" si="1"/>
        <v>19800.662111984635</v>
      </c>
      <c r="J14" s="28">
        <f t="shared" si="2"/>
        <v>15898.381216556554</v>
      </c>
      <c r="L14" s="175" t="s">
        <v>25</v>
      </c>
      <c r="M14" s="175"/>
      <c r="N14" s="35">
        <f>(N11-N13)/N11</f>
        <v>0.60614878885893286</v>
      </c>
      <c r="S14" s="9"/>
      <c r="T14" s="178"/>
      <c r="U14" s="178"/>
      <c r="V14" s="34" t="e" cm="1">
        <f t="array" ref="V14">_xlfn.IFS(T14="Pass",W14,T14="Fail",-W14)</f>
        <v>#N/A</v>
      </c>
      <c r="W14" s="37">
        <v>2</v>
      </c>
      <c r="X14" s="16"/>
      <c r="Y14" s="16"/>
      <c r="Z14" s="10"/>
      <c r="AA14" s="16"/>
      <c r="AB14" s="10" t="s">
        <v>27</v>
      </c>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4"/>
    </row>
    <row r="15" spans="2:88" ht="17.399999999999999">
      <c r="B15" s="26">
        <v>5</v>
      </c>
      <c r="C15" s="256">
        <f t="shared" si="6"/>
        <v>2030</v>
      </c>
      <c r="D15" s="27">
        <f t="shared" si="3"/>
        <v>43792.841776781679</v>
      </c>
      <c r="E15" s="27">
        <f t="shared" si="4"/>
        <v>38048.375160090247</v>
      </c>
      <c r="F15" s="244">
        <f t="shared" si="5"/>
        <v>28918.622837145609</v>
      </c>
      <c r="G15" s="247"/>
      <c r="H15" s="246">
        <f t="shared" si="0"/>
        <v>21772.782104014877</v>
      </c>
      <c r="I15" s="27">
        <f t="shared" si="1"/>
        <v>18916.766945498217</v>
      </c>
      <c r="J15" s="28">
        <f t="shared" si="2"/>
        <v>14377.666491494623</v>
      </c>
      <c r="S15" s="9"/>
      <c r="T15" s="178"/>
      <c r="U15" s="178"/>
      <c r="V15" s="34" t="e" cm="1">
        <f t="array" ref="V15">_xlfn.IFS(T15="Pass",W15,T15="Fail",-W15)</f>
        <v>#N/A</v>
      </c>
      <c r="W15" s="37">
        <v>4</v>
      </c>
      <c r="X15" s="16"/>
      <c r="Y15" s="16"/>
      <c r="Z15" s="10"/>
      <c r="AA15" s="16"/>
      <c r="AB15" s="10"/>
      <c r="AC15" s="10" t="s">
        <v>28</v>
      </c>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4"/>
    </row>
    <row r="16" spans="2:88" ht="17.399999999999999">
      <c r="B16" s="26">
        <v>5</v>
      </c>
      <c r="C16" s="256">
        <f t="shared" si="6"/>
        <v>2031</v>
      </c>
      <c r="D16" s="38">
        <f>D15*D6</f>
        <v>540885.38878503058</v>
      </c>
      <c r="E16" s="38">
        <f>E15*D7</f>
        <v>322269.73760596442</v>
      </c>
      <c r="F16" s="245">
        <f>F15*D8</f>
        <v>72296.557092864023</v>
      </c>
      <c r="G16" s="249"/>
      <c r="H16" s="246">
        <f t="shared" si="0"/>
        <v>268915.63176668779</v>
      </c>
      <c r="I16" s="27">
        <f t="shared" si="1"/>
        <v>160225.01602836989</v>
      </c>
      <c r="J16" s="28">
        <f t="shared" si="2"/>
        <v>35944.166228736562</v>
      </c>
      <c r="S16" s="9"/>
      <c r="T16" s="178"/>
      <c r="U16" s="178"/>
      <c r="V16" s="34" t="e" cm="1">
        <f t="array" ref="V16">_xlfn.IFS(T16="Pass",W16,T16="Fail",-W16)</f>
        <v>#N/A</v>
      </c>
      <c r="W16" s="37">
        <v>1</v>
      </c>
      <c r="X16" s="16"/>
      <c r="Y16" s="16"/>
      <c r="Z16" s="10"/>
      <c r="AA16" s="10"/>
      <c r="AB16" s="10"/>
      <c r="AC16" s="10"/>
      <c r="AD16" s="16" t="s">
        <v>29</v>
      </c>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4"/>
    </row>
    <row r="17" spans="2:70" ht="17.399999999999999">
      <c r="C17" s="124"/>
      <c r="D17" s="125"/>
      <c r="E17" s="125"/>
      <c r="F17" s="125"/>
      <c r="G17" s="125"/>
      <c r="H17" s="80"/>
      <c r="I17" s="126" t="s">
        <v>33</v>
      </c>
      <c r="J17" s="99" t="s">
        <v>94</v>
      </c>
      <c r="S17" s="9"/>
      <c r="T17" s="101"/>
      <c r="U17" s="101"/>
      <c r="V17" s="34"/>
      <c r="W17" s="37"/>
      <c r="X17" s="16"/>
      <c r="Y17" s="16"/>
      <c r="Z17" s="10"/>
      <c r="AA17" s="10"/>
      <c r="AB17" s="10"/>
      <c r="AC17" s="10"/>
      <c r="AD17" s="16"/>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4"/>
    </row>
    <row r="18" spans="2:70" ht="15.6">
      <c r="H18" s="39" t="s">
        <v>30</v>
      </c>
      <c r="I18" s="127">
        <f>SUM(H11:H16)*1000000</f>
        <v>381701942889.84711</v>
      </c>
      <c r="J18" s="127">
        <f>I18/$L$11</f>
        <v>936.37730757408644</v>
      </c>
    </row>
    <row r="19" spans="2:70" ht="15.6">
      <c r="H19" s="39" t="s">
        <v>31</v>
      </c>
      <c r="I19" s="127">
        <f>SUM(I11:I16)*1000000</f>
        <v>264070545834.94528</v>
      </c>
      <c r="J19" s="127">
        <f t="shared" ref="J19:J20" si="7">I19/$L$11</f>
        <v>647.8082475726444</v>
      </c>
    </row>
    <row r="20" spans="2:70" ht="15.6">
      <c r="H20" s="39" t="s">
        <v>32</v>
      </c>
      <c r="I20" s="127">
        <f>SUM(J11:J16)*1000000</f>
        <v>124734955763.69662</v>
      </c>
      <c r="J20" s="127">
        <f t="shared" si="7"/>
        <v>305.9952515675019</v>
      </c>
    </row>
    <row r="21" spans="2:70" ht="15.6">
      <c r="K21" s="40"/>
    </row>
    <row r="22" spans="2:70" ht="15.6">
      <c r="B22" s="43"/>
      <c r="C22" s="55"/>
      <c r="D22" s="118"/>
      <c r="E22" s="119"/>
      <c r="F22" s="55"/>
      <c r="G22" s="55"/>
      <c r="H22" s="56"/>
    </row>
    <row r="23" spans="2:70" ht="19.05" customHeight="1">
      <c r="B23" s="122" t="s">
        <v>34</v>
      </c>
      <c r="C23" s="123" t="s">
        <v>50</v>
      </c>
      <c r="D23" s="123" t="s">
        <v>127</v>
      </c>
      <c r="E23" s="102"/>
      <c r="F23" s="102"/>
      <c r="G23" s="102"/>
      <c r="H23" s="120"/>
    </row>
    <row r="24" spans="2:70" ht="15.6">
      <c r="B24" s="115">
        <v>2016</v>
      </c>
      <c r="C24" s="46">
        <v>5854.43</v>
      </c>
      <c r="D24" s="1" t="s">
        <v>77</v>
      </c>
      <c r="E24" s="103"/>
      <c r="F24" s="103"/>
      <c r="G24" s="103"/>
      <c r="H24" s="117"/>
      <c r="S24">
        <v>2015</v>
      </c>
      <c r="T24">
        <v>2014</v>
      </c>
      <c r="U24">
        <v>2013</v>
      </c>
      <c r="V24">
        <v>2012</v>
      </c>
      <c r="W24">
        <v>2011</v>
      </c>
      <c r="X24">
        <v>2010</v>
      </c>
      <c r="Y24">
        <v>2009</v>
      </c>
      <c r="Z24">
        <v>2008</v>
      </c>
      <c r="AA24">
        <v>2007</v>
      </c>
      <c r="AB24">
        <v>2006</v>
      </c>
      <c r="AC24">
        <v>2005</v>
      </c>
      <c r="AD24">
        <v>2004</v>
      </c>
      <c r="AE24">
        <v>2003</v>
      </c>
      <c r="AF24">
        <v>2002</v>
      </c>
      <c r="AG24">
        <v>2001</v>
      </c>
      <c r="AH24">
        <v>2000</v>
      </c>
      <c r="AI24">
        <v>1999</v>
      </c>
      <c r="AJ24">
        <v>1998</v>
      </c>
      <c r="AK24">
        <v>1997</v>
      </c>
      <c r="AL24">
        <v>1996</v>
      </c>
      <c r="AM24">
        <v>1995</v>
      </c>
      <c r="AN24">
        <v>1994</v>
      </c>
      <c r="AO24">
        <v>1993</v>
      </c>
      <c r="AP24">
        <v>1992</v>
      </c>
      <c r="AQ24">
        <v>1991</v>
      </c>
      <c r="AR24">
        <v>1990</v>
      </c>
      <c r="AS24">
        <v>1989</v>
      </c>
      <c r="AT24">
        <v>1988</v>
      </c>
      <c r="AU24">
        <v>1987</v>
      </c>
      <c r="AV24">
        <v>1986</v>
      </c>
      <c r="AW24">
        <v>1985</v>
      </c>
      <c r="AX24">
        <v>1984</v>
      </c>
      <c r="AY24">
        <v>1983</v>
      </c>
      <c r="AZ24">
        <v>1982</v>
      </c>
      <c r="BA24">
        <v>1981</v>
      </c>
      <c r="BB24">
        <v>1980</v>
      </c>
      <c r="BC24">
        <v>1979</v>
      </c>
      <c r="BD24">
        <v>1978</v>
      </c>
      <c r="BE24">
        <v>1977</v>
      </c>
      <c r="BF24">
        <v>1976</v>
      </c>
      <c r="BG24">
        <v>1975</v>
      </c>
      <c r="BH24">
        <v>1974</v>
      </c>
      <c r="BI24">
        <v>1973</v>
      </c>
      <c r="BJ24">
        <v>1972</v>
      </c>
      <c r="BK24">
        <v>1971</v>
      </c>
      <c r="BL24">
        <v>1970</v>
      </c>
      <c r="BM24">
        <v>1969</v>
      </c>
      <c r="BN24">
        <v>1968</v>
      </c>
      <c r="BO24">
        <v>1967</v>
      </c>
      <c r="BP24">
        <v>1966</v>
      </c>
      <c r="BQ24">
        <v>1965</v>
      </c>
      <c r="BR24">
        <v>1964</v>
      </c>
    </row>
    <row r="25" spans="2:70" ht="15.6">
      <c r="B25" s="115">
        <v>2017</v>
      </c>
      <c r="C25" s="46">
        <v>7301.5050000000001</v>
      </c>
      <c r="D25" s="8">
        <f>RATE(1,0,-C24,C25)</f>
        <v>0.24717607008709636</v>
      </c>
      <c r="H25" s="57"/>
      <c r="I25" s="106"/>
      <c r="J25" s="106"/>
      <c r="K25" s="106"/>
      <c r="L25" s="106"/>
      <c r="M25" s="106"/>
      <c r="N25" s="106"/>
      <c r="O25" s="106"/>
      <c r="P25" s="106"/>
      <c r="Q25" s="106"/>
      <c r="R25" s="106"/>
    </row>
    <row r="26" spans="2:70" ht="15.6">
      <c r="B26" s="115">
        <v>2018</v>
      </c>
      <c r="C26" s="46">
        <v>9030.0079999999998</v>
      </c>
      <c r="D26" s="8">
        <f t="shared" ref="D26:D33" si="8">RATE(1,0,-C25,C26)</f>
        <v>0.23673242708181388</v>
      </c>
      <c r="H26" s="57"/>
    </row>
    <row r="27" spans="2:70" ht="15.6">
      <c r="B27" s="115">
        <v>2019</v>
      </c>
      <c r="C27" s="46">
        <v>11171.297</v>
      </c>
      <c r="D27" s="8">
        <f t="shared" si="8"/>
        <v>0.23713035470178997</v>
      </c>
      <c r="H27" s="57"/>
    </row>
    <row r="28" spans="2:70" ht="15.6">
      <c r="B28" s="115">
        <v>2020</v>
      </c>
      <c r="C28" s="46">
        <v>12868</v>
      </c>
      <c r="D28" s="8">
        <f t="shared" si="8"/>
        <v>0.15188057393872872</v>
      </c>
      <c r="H28" s="57"/>
    </row>
    <row r="29" spans="2:70" ht="15.6">
      <c r="B29" s="115">
        <v>2021</v>
      </c>
      <c r="C29" s="46">
        <v>15785</v>
      </c>
      <c r="D29" s="8">
        <f t="shared" si="8"/>
        <v>0.22668635374572585</v>
      </c>
      <c r="H29" s="57"/>
    </row>
    <row r="30" spans="2:70" ht="15.6">
      <c r="B30" s="115">
        <v>2022</v>
      </c>
      <c r="C30" s="46">
        <v>17606</v>
      </c>
      <c r="D30" s="8">
        <f t="shared" si="8"/>
        <v>0.11536268609439357</v>
      </c>
      <c r="F30" s="100" t="s">
        <v>84</v>
      </c>
      <c r="G30" s="100"/>
      <c r="H30" s="130" t="s">
        <v>98</v>
      </c>
    </row>
    <row r="31" spans="2:70" ht="15.6">
      <c r="B31" s="115">
        <v>2023</v>
      </c>
      <c r="C31" s="46">
        <v>19409</v>
      </c>
      <c r="D31" s="8">
        <f t="shared" si="8"/>
        <v>0.10240826990798596</v>
      </c>
      <c r="E31" s="1" t="s">
        <v>78</v>
      </c>
      <c r="F31" s="8">
        <f>RATE(10,0,-C24,C33)</f>
        <v>0.15040994998885376</v>
      </c>
      <c r="G31" s="8"/>
      <c r="H31" s="62">
        <f>MEDIAN(D25:D33)</f>
        <v>0.15188057393872872</v>
      </c>
    </row>
    <row r="32" spans="2:70" ht="15.6">
      <c r="B32" s="115">
        <v>2024</v>
      </c>
      <c r="C32" s="46">
        <v>21505</v>
      </c>
      <c r="D32" s="8">
        <f t="shared" si="8"/>
        <v>0.10799113813179462</v>
      </c>
      <c r="E32" s="1" t="s">
        <v>79</v>
      </c>
      <c r="F32" s="8">
        <f>RATE(5,0,-C28,C33)</f>
        <v>0.13057654594156742</v>
      </c>
      <c r="G32" s="8"/>
      <c r="H32" s="62">
        <f>MEDIAN(D29:D33)</f>
        <v>0.10799113813179462</v>
      </c>
    </row>
    <row r="33" spans="2:17" ht="15.6">
      <c r="B33" s="115">
        <v>2025</v>
      </c>
      <c r="C33" s="46">
        <v>23769</v>
      </c>
      <c r="D33" s="8">
        <f t="shared" si="8"/>
        <v>0.1052778423622414</v>
      </c>
      <c r="E33" s="1" t="s">
        <v>80</v>
      </c>
      <c r="F33" s="8">
        <f>RATE(3,0,-C30,C33)</f>
        <v>0.10522339932516132</v>
      </c>
      <c r="G33" s="8"/>
      <c r="H33" s="62">
        <f>MEDIAN(D31:D33)</f>
        <v>0.1052778423622414</v>
      </c>
    </row>
    <row r="34" spans="2:17">
      <c r="B34" s="48"/>
      <c r="C34" s="58"/>
      <c r="D34" s="58"/>
      <c r="E34" s="58"/>
      <c r="F34" s="58"/>
      <c r="G34" s="58"/>
      <c r="H34" s="65"/>
    </row>
    <row r="35" spans="2:17" ht="19.05" customHeight="1"/>
    <row r="36" spans="2:17" ht="19.05" customHeight="1">
      <c r="B36" s="43"/>
      <c r="C36" s="55"/>
      <c r="D36" s="55"/>
      <c r="E36" s="55"/>
      <c r="F36" s="56"/>
      <c r="G36" s="235"/>
    </row>
    <row r="37" spans="2:17" ht="15.6">
      <c r="B37" s="122" t="s">
        <v>34</v>
      </c>
      <c r="C37" s="100" t="s">
        <v>128</v>
      </c>
      <c r="F37" s="57"/>
      <c r="G37" s="235"/>
    </row>
    <row r="38" spans="2:17" ht="15.6">
      <c r="B38" s="115">
        <v>2016</v>
      </c>
      <c r="C38" s="73">
        <v>8.4700000000000006</v>
      </c>
      <c r="F38" s="57"/>
      <c r="G38" s="235"/>
    </row>
    <row r="39" spans="2:17" ht="15.6">
      <c r="B39" s="115">
        <v>2017</v>
      </c>
      <c r="C39" s="73">
        <v>12.12</v>
      </c>
      <c r="F39" s="57"/>
      <c r="G39" s="235"/>
      <c r="H39" s="106"/>
      <c r="I39" s="106"/>
      <c r="J39" s="106"/>
      <c r="K39" s="106"/>
      <c r="L39" s="106"/>
      <c r="M39" s="106"/>
      <c r="N39" s="106"/>
      <c r="O39" s="106"/>
      <c r="P39" s="106"/>
      <c r="Q39" s="106"/>
    </row>
    <row r="40" spans="2:17" ht="15.6">
      <c r="B40" s="115">
        <v>2018</v>
      </c>
      <c r="C40" s="73">
        <v>13.56</v>
      </c>
      <c r="F40" s="57"/>
      <c r="G40" s="235"/>
    </row>
    <row r="41" spans="2:17" ht="15.6">
      <c r="B41" s="115">
        <v>2019</v>
      </c>
      <c r="C41" s="73">
        <v>13.41</v>
      </c>
      <c r="F41" s="57"/>
      <c r="G41" s="235"/>
    </row>
    <row r="42" spans="2:17" ht="15.6">
      <c r="B42" s="115">
        <v>2020</v>
      </c>
      <c r="C42" s="73">
        <v>17.78</v>
      </c>
      <c r="F42" s="57"/>
      <c r="G42" s="235"/>
    </row>
    <row r="43" spans="2:17" ht="15.6">
      <c r="B43" s="115">
        <v>2021</v>
      </c>
      <c r="C43" s="73">
        <v>18.579999999999998</v>
      </c>
      <c r="F43" s="57"/>
      <c r="G43" s="235"/>
    </row>
    <row r="44" spans="2:17" ht="15.6">
      <c r="B44" s="115">
        <v>2022</v>
      </c>
      <c r="C44" s="73">
        <v>9.02</v>
      </c>
      <c r="D44" s="174" t="s">
        <v>86</v>
      </c>
      <c r="E44" s="174"/>
      <c r="F44" s="57"/>
      <c r="G44" s="235"/>
    </row>
    <row r="45" spans="2:17" ht="15.6">
      <c r="B45" s="115">
        <v>2023</v>
      </c>
      <c r="C45" s="73">
        <v>14.37</v>
      </c>
      <c r="D45" t="s">
        <v>87</v>
      </c>
      <c r="E45" s="121">
        <f>AVERAGE(C38:C47)</f>
        <v>12.351000000000001</v>
      </c>
      <c r="F45" s="57"/>
      <c r="G45" s="235"/>
    </row>
    <row r="46" spans="2:17" ht="15.6">
      <c r="B46" s="115">
        <v>2024</v>
      </c>
      <c r="C46" s="73">
        <v>10.56</v>
      </c>
      <c r="D46" t="s">
        <v>88</v>
      </c>
      <c r="E46" s="121">
        <f>AVERAGE(C43:C47)</f>
        <v>11.634</v>
      </c>
      <c r="F46" s="57"/>
      <c r="G46" s="235"/>
    </row>
    <row r="47" spans="2:17" ht="15.6">
      <c r="B47" s="115">
        <v>2025</v>
      </c>
      <c r="C47" s="73">
        <v>5.64</v>
      </c>
      <c r="D47" t="s">
        <v>89</v>
      </c>
      <c r="E47" s="121">
        <f>AVERAGE(C45:C47)</f>
        <v>10.19</v>
      </c>
      <c r="F47" s="57"/>
      <c r="G47" s="235"/>
    </row>
    <row r="48" spans="2:17">
      <c r="B48" s="48"/>
      <c r="C48" s="58"/>
      <c r="D48" s="58"/>
      <c r="E48" s="58"/>
      <c r="F48" s="59"/>
      <c r="G48" s="235"/>
    </row>
    <row r="50" spans="2:14" ht="15.6">
      <c r="B50" s="134"/>
      <c r="C50" s="135"/>
      <c r="D50" s="134"/>
      <c r="E50" s="135"/>
      <c r="F50" s="134"/>
      <c r="G50" s="134"/>
      <c r="H50" s="135"/>
      <c r="I50" s="134"/>
      <c r="J50" s="135"/>
      <c r="K50" s="134"/>
      <c r="L50" s="135"/>
    </row>
    <row r="51" spans="2:14" ht="15">
      <c r="B51" s="165" t="s">
        <v>139</v>
      </c>
      <c r="F51" s="106"/>
      <c r="G51" s="106"/>
      <c r="H51" s="106"/>
      <c r="I51" s="106"/>
      <c r="J51" s="106"/>
      <c r="K51" s="106"/>
      <c r="L51" s="106"/>
      <c r="M51" s="106"/>
      <c r="N51" s="106"/>
    </row>
    <row r="52" spans="2:14" ht="15">
      <c r="F52" s="106"/>
      <c r="G52" s="106"/>
      <c r="H52" s="106"/>
      <c r="I52" s="106"/>
      <c r="J52" s="106"/>
      <c r="K52" s="106"/>
      <c r="L52" s="106"/>
      <c r="M52" s="106"/>
      <c r="N52" s="106"/>
    </row>
    <row r="53" spans="2:14">
      <c r="B53" s="167" t="s">
        <v>34</v>
      </c>
      <c r="C53" s="167" t="s">
        <v>35</v>
      </c>
      <c r="D53" s="167" t="s">
        <v>143</v>
      </c>
      <c r="E53" s="167" t="s">
        <v>140</v>
      </c>
    </row>
    <row r="54" spans="2:14">
      <c r="B54">
        <v>2019</v>
      </c>
      <c r="C54" s="29">
        <v>11171.297</v>
      </c>
      <c r="D54" s="29">
        <v>7266.8</v>
      </c>
      <c r="E54" s="1" t="s">
        <v>21</v>
      </c>
    </row>
    <row r="55" spans="2:14">
      <c r="B55">
        <v>2020</v>
      </c>
      <c r="C55" s="29">
        <v>12868</v>
      </c>
      <c r="D55" s="29">
        <v>8278.2000000000007</v>
      </c>
      <c r="E55" s="132">
        <f>D54/C55</f>
        <v>0.56471868200186515</v>
      </c>
    </row>
    <row r="56" spans="2:14">
      <c r="B56">
        <v>2021</v>
      </c>
      <c r="C56" s="29">
        <v>15785</v>
      </c>
      <c r="D56" s="29">
        <v>10072.799999999999</v>
      </c>
      <c r="E56" s="132">
        <f t="shared" ref="E56:E59" si="9">D55/C56</f>
        <v>0.52443458980044355</v>
      </c>
    </row>
    <row r="57" spans="2:14">
      <c r="B57">
        <v>2022</v>
      </c>
      <c r="C57" s="29">
        <v>17606</v>
      </c>
      <c r="D57" s="29">
        <v>10936.8</v>
      </c>
      <c r="E57" s="132">
        <f t="shared" si="9"/>
        <v>0.57212313983869134</v>
      </c>
    </row>
    <row r="58" spans="2:14">
      <c r="B58">
        <v>2023</v>
      </c>
      <c r="C58" s="29">
        <v>19409</v>
      </c>
      <c r="D58" s="29">
        <v>11881.8</v>
      </c>
      <c r="E58" s="132">
        <f t="shared" si="9"/>
        <v>0.56349116389303933</v>
      </c>
    </row>
    <row r="59" spans="2:14">
      <c r="B59">
        <v>2024</v>
      </c>
      <c r="C59" s="29">
        <v>21505</v>
      </c>
      <c r="D59" s="29">
        <v>13373.2</v>
      </c>
      <c r="E59" s="132">
        <f t="shared" si="9"/>
        <v>0.5525133689839572</v>
      </c>
    </row>
    <row r="60" spans="2:14" hidden="1" outlineLevel="1">
      <c r="B60" s="168" t="s">
        <v>131</v>
      </c>
      <c r="C60" s="169">
        <v>22040</v>
      </c>
      <c r="D60" s="169">
        <v>13192.300000000001</v>
      </c>
      <c r="E60" s="171" t="s">
        <v>21</v>
      </c>
      <c r="F60" s="49"/>
      <c r="G60" s="49"/>
    </row>
    <row r="61" spans="2:14" hidden="1" outlineLevel="1">
      <c r="B61" s="168" t="s">
        <v>132</v>
      </c>
      <c r="C61" s="169">
        <v>22600</v>
      </c>
      <c r="D61" s="169">
        <v>13192.300000000001</v>
      </c>
      <c r="E61" s="171" t="s">
        <v>21</v>
      </c>
    </row>
    <row r="62" spans="2:14" hidden="1" outlineLevel="1">
      <c r="B62" s="168" t="s">
        <v>133</v>
      </c>
      <c r="C62" s="169">
        <v>23180</v>
      </c>
      <c r="D62" s="169">
        <v>13694.800000000003</v>
      </c>
      <c r="E62" s="171" t="s">
        <v>21</v>
      </c>
    </row>
    <row r="63" spans="2:14" hidden="1" outlineLevel="1">
      <c r="B63" s="168" t="s">
        <v>134</v>
      </c>
      <c r="C63" s="169">
        <v>23770</v>
      </c>
      <c r="D63" s="169">
        <v>14638</v>
      </c>
      <c r="E63" s="171" t="s">
        <v>21</v>
      </c>
    </row>
    <row r="64" spans="2:14" collapsed="1">
      <c r="B64">
        <v>2025</v>
      </c>
      <c r="C64" s="29">
        <v>23769</v>
      </c>
      <c r="D64" s="29">
        <v>14638</v>
      </c>
      <c r="E64" s="132">
        <f>D59/C64</f>
        <v>0.56263199966342714</v>
      </c>
    </row>
    <row r="65" spans="2:5" hidden="1" outlineLevel="1">
      <c r="B65" s="168" t="s">
        <v>135</v>
      </c>
      <c r="C65" s="169">
        <v>24450</v>
      </c>
      <c r="D65" s="169">
        <v>14887.4</v>
      </c>
      <c r="E65" s="170">
        <f>D60/C65</f>
        <v>0.53956237218813907</v>
      </c>
    </row>
    <row r="66" spans="2:5" hidden="1" outlineLevel="1">
      <c r="B66" s="168" t="s">
        <v>136</v>
      </c>
      <c r="C66" s="169"/>
      <c r="D66" s="169"/>
      <c r="E66" s="170"/>
    </row>
    <row r="67" spans="2:5" hidden="1" outlineLevel="1">
      <c r="B67" s="168" t="s">
        <v>137</v>
      </c>
      <c r="C67" s="169"/>
      <c r="D67" s="169"/>
      <c r="E67" s="170"/>
    </row>
    <row r="68" spans="2:5" hidden="1" outlineLevel="1">
      <c r="B68" s="168" t="s">
        <v>138</v>
      </c>
      <c r="C68" s="169"/>
      <c r="D68" s="169"/>
      <c r="E68" s="170"/>
    </row>
    <row r="69" spans="2:5" collapsed="1">
      <c r="E69" s="136">
        <f>AVERAGE(E54:E68)</f>
        <v>0.55421075948136611</v>
      </c>
    </row>
    <row r="70" spans="2:5">
      <c r="B70" s="165" t="s">
        <v>141</v>
      </c>
    </row>
    <row r="71" spans="2:5">
      <c r="B71" s="167" t="s">
        <v>34</v>
      </c>
      <c r="C71" s="167" t="s">
        <v>35</v>
      </c>
      <c r="D71" s="167" t="s">
        <v>142</v>
      </c>
    </row>
    <row r="72" spans="2:5">
      <c r="B72">
        <v>2026</v>
      </c>
      <c r="C72" s="29">
        <f>D64/E69</f>
        <v>26412.334566904352</v>
      </c>
      <c r="D72" s="3">
        <f>RATE(1,0,-C64,C72)</f>
        <v>0.11120933008979561</v>
      </c>
    </row>
    <row r="73" spans="2:5">
      <c r="B73" t="s">
        <v>144</v>
      </c>
      <c r="C73" s="29">
        <f>D65/E69</f>
        <v>26862.343874254122</v>
      </c>
      <c r="D73" s="3">
        <f>RATE(1,0,-C65,C73)</f>
        <v>9.8664371135137902E-2</v>
      </c>
    </row>
  </sheetData>
  <mergeCells count="13">
    <mergeCell ref="T8:W8"/>
    <mergeCell ref="T9:U9"/>
    <mergeCell ref="T10:U10"/>
    <mergeCell ref="T11:U11"/>
    <mergeCell ref="L12:M12"/>
    <mergeCell ref="T12:U12"/>
    <mergeCell ref="L13:M13"/>
    <mergeCell ref="T13:U13"/>
    <mergeCell ref="L14:M14"/>
    <mergeCell ref="T14:U14"/>
    <mergeCell ref="T15:U15"/>
    <mergeCell ref="T16:U16"/>
    <mergeCell ref="D44:E44"/>
  </mergeCells>
  <conditionalFormatting sqref="N14">
    <cfRule type="cellIs" dxfId="13" priority="1" operator="lessThan">
      <formula>0</formula>
    </cfRule>
    <cfRule type="cellIs" dxfId="12" priority="2" operator="greaterThan">
      <formula>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E0629-CA34-484F-9EAE-C7C6039E1233}">
  <dimension ref="B3:CJ99"/>
  <sheetViews>
    <sheetView showGridLines="0" zoomScale="80" zoomScaleNormal="80" workbookViewId="0">
      <selection activeCell="E4" sqref="E4"/>
    </sheetView>
  </sheetViews>
  <sheetFormatPr defaultColWidth="11.88671875" defaultRowHeight="14.4"/>
  <cols>
    <col min="1" max="1" width="2.77734375" customWidth="1"/>
    <col min="2" max="2" width="22" bestFit="1" customWidth="1"/>
    <col min="3" max="3" width="12.77734375" customWidth="1"/>
    <col min="4" max="4" width="16.6640625" bestFit="1" customWidth="1"/>
    <col min="5" max="5" width="16.88671875" bestFit="1" customWidth="1"/>
    <col min="6" max="6" width="19.77734375" bestFit="1" customWidth="1"/>
    <col min="7" max="7" width="2.77734375" customWidth="1"/>
    <col min="8" max="8" width="24.77734375" bestFit="1" customWidth="1"/>
    <col min="9" max="9" width="25" bestFit="1" customWidth="1"/>
    <col min="10" max="10" width="27.21875" bestFit="1" customWidth="1"/>
    <col min="11" max="11" width="13" bestFit="1" customWidth="1"/>
    <col min="12" max="12" width="23.109375" bestFit="1" customWidth="1"/>
    <col min="13" max="13" width="17.88671875" bestFit="1" customWidth="1"/>
    <col min="14" max="14" width="23.109375" bestFit="1" customWidth="1"/>
    <col min="15" max="15" width="14.77734375" bestFit="1" customWidth="1"/>
    <col min="19" max="21" width="5" hidden="1" customWidth="1"/>
    <col min="22" max="22" width="6.6640625" hidden="1" customWidth="1"/>
    <col min="23" max="23" width="8.88671875" hidden="1" customWidth="1"/>
    <col min="24" max="70" width="5" hidden="1" customWidth="1"/>
    <col min="73" max="73" width="8.77734375" customWidth="1"/>
    <col min="74" max="74" width="11.88671875" bestFit="1" customWidth="1"/>
    <col min="75" max="75" width="10.6640625" bestFit="1" customWidth="1"/>
    <col min="76" max="76" width="8.77734375" customWidth="1"/>
    <col min="78" max="78" width="12.21875" bestFit="1" customWidth="1"/>
  </cols>
  <sheetData>
    <row r="3" spans="2:88">
      <c r="B3" s="1" t="s">
        <v>0</v>
      </c>
      <c r="C3" s="2">
        <v>0.15</v>
      </c>
      <c r="E3" s="1"/>
      <c r="H3" s="3"/>
      <c r="I3" s="3"/>
    </row>
    <row r="5" spans="2:88">
      <c r="B5" s="112" t="s">
        <v>90</v>
      </c>
      <c r="C5" s="113" t="s">
        <v>75</v>
      </c>
      <c r="D5" s="114" t="s">
        <v>36</v>
      </c>
      <c r="E5" s="131"/>
      <c r="H5" s="3"/>
      <c r="I5" s="3"/>
    </row>
    <row r="6" spans="2:88" ht="17.399999999999999">
      <c r="B6" s="111" t="s">
        <v>92</v>
      </c>
      <c r="C6" s="107">
        <f>H31</f>
        <v>0.17128712871287136</v>
      </c>
      <c r="D6" s="108">
        <f>MIN(E45,E46,E47,C6*100*2)</f>
        <v>34.25742574257427</v>
      </c>
      <c r="E6" s="98" t="s">
        <v>168</v>
      </c>
      <c r="H6" s="3"/>
      <c r="I6" s="3"/>
      <c r="S6" s="4"/>
      <c r="T6" s="5"/>
      <c r="U6" s="5"/>
      <c r="V6" s="6"/>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7"/>
      <c r="CA6" s="102"/>
      <c r="CB6" s="102"/>
      <c r="CC6" s="102"/>
      <c r="CD6" s="102"/>
      <c r="CE6" s="102"/>
      <c r="CF6" s="106"/>
      <c r="CG6" s="106"/>
      <c r="CH6" s="106"/>
      <c r="CI6" s="106"/>
      <c r="CJ6" s="106"/>
    </row>
    <row r="7" spans="2:88" ht="21">
      <c r="B7" s="111" t="s">
        <v>91</v>
      </c>
      <c r="C7" s="109">
        <f>F32</f>
        <v>9.0077427244222977E-2</v>
      </c>
      <c r="D7" s="108">
        <f>MIN(E45,E46,E47,C7*100*2)</f>
        <v>18.015485448844597</v>
      </c>
      <c r="E7" s="98" t="s">
        <v>168</v>
      </c>
      <c r="F7" s="8"/>
      <c r="G7" s="8"/>
      <c r="H7" s="8"/>
      <c r="I7" s="8"/>
      <c r="S7" s="9"/>
      <c r="T7" s="10"/>
      <c r="U7" s="11"/>
      <c r="V7" s="12"/>
      <c r="W7" s="11"/>
      <c r="X7" s="10"/>
      <c r="Y7" s="13" t="s">
        <v>1</v>
      </c>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4"/>
      <c r="CA7" s="103"/>
      <c r="CB7" s="103"/>
      <c r="CC7" s="103"/>
      <c r="CD7" s="103"/>
      <c r="CE7" s="103"/>
      <c r="CF7" s="103"/>
      <c r="CG7" s="103"/>
      <c r="CH7" s="103"/>
      <c r="CI7" s="103"/>
      <c r="CJ7" s="103"/>
    </row>
    <row r="8" spans="2:88" ht="17.399999999999999">
      <c r="B8" s="111" t="s">
        <v>93</v>
      </c>
      <c r="C8" s="110">
        <v>0.04</v>
      </c>
      <c r="D8" s="108">
        <f>MIN(E45,E46,E47,C8*100*2)</f>
        <v>8</v>
      </c>
      <c r="E8" s="98" t="s">
        <v>168</v>
      </c>
      <c r="L8" t="e" vm="1">
        <v>#VALUE!</v>
      </c>
      <c r="S8" s="9"/>
      <c r="T8" s="176" t="s">
        <v>2</v>
      </c>
      <c r="U8" s="176"/>
      <c r="V8" s="176"/>
      <c r="W8" s="176"/>
      <c r="X8" s="16"/>
      <c r="Y8" s="16"/>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4"/>
      <c r="CC8" s="102"/>
      <c r="CD8" s="104"/>
      <c r="CE8" s="104"/>
      <c r="CF8" s="104"/>
      <c r="CG8" s="104"/>
    </row>
    <row r="9" spans="2:88" ht="17.399999999999999">
      <c r="J9" s="17" t="s">
        <v>3</v>
      </c>
      <c r="S9" s="9"/>
      <c r="T9" s="176" t="s">
        <v>4</v>
      </c>
      <c r="U9" s="176"/>
      <c r="V9" s="15"/>
      <c r="W9" s="19" t="s">
        <v>5</v>
      </c>
      <c r="X9" s="16"/>
      <c r="Y9" s="16" t="s">
        <v>6</v>
      </c>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4"/>
      <c r="CC9" s="103"/>
      <c r="CD9" s="103"/>
      <c r="CE9" s="103"/>
      <c r="CF9" s="103"/>
      <c r="CG9" s="103"/>
    </row>
    <row r="10" spans="2:88" ht="18">
      <c r="B10" s="21" t="s">
        <v>7</v>
      </c>
      <c r="C10" s="21" t="s">
        <v>8</v>
      </c>
      <c r="D10" s="21" t="s">
        <v>156</v>
      </c>
      <c r="E10" s="21" t="s">
        <v>157</v>
      </c>
      <c r="F10" s="172" t="s">
        <v>158</v>
      </c>
      <c r="G10" s="248"/>
      <c r="H10" s="173" t="s">
        <v>159</v>
      </c>
      <c r="I10" s="21" t="s">
        <v>160</v>
      </c>
      <c r="J10" s="21" t="s">
        <v>161</v>
      </c>
      <c r="L10" s="22" t="s">
        <v>16</v>
      </c>
      <c r="M10" s="22" t="s">
        <v>17</v>
      </c>
      <c r="N10" s="22" t="s">
        <v>18</v>
      </c>
      <c r="S10" s="9"/>
      <c r="T10" s="177"/>
      <c r="U10" s="177"/>
      <c r="V10" s="23"/>
      <c r="W10" s="24" t="s">
        <v>19</v>
      </c>
      <c r="X10" s="16"/>
      <c r="Y10" s="16"/>
      <c r="Z10" s="25" t="s">
        <v>20</v>
      </c>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4"/>
    </row>
    <row r="11" spans="2:88" ht="17.399999999999999">
      <c r="B11" s="26">
        <v>1</v>
      </c>
      <c r="C11" s="256">
        <v>2026</v>
      </c>
      <c r="D11" s="27">
        <f>(C33)*(1+$C$6)</f>
        <v>19.560495049504951</v>
      </c>
      <c r="E11" s="27">
        <f>(C33)*(1+$C$7)</f>
        <v>18.204293034978523</v>
      </c>
      <c r="F11" s="244">
        <f>(C33)*(1+$C$8)</f>
        <v>17.367999999999999</v>
      </c>
      <c r="G11" s="247"/>
      <c r="H11" s="246">
        <f t="shared" ref="H11:H16" si="0">PV($C$3,B11,0,D11)*-1</f>
        <v>17.009126130004308</v>
      </c>
      <c r="I11" s="27">
        <f t="shared" ref="I11:I16" si="1">PV($C$3,B11,0,E11)*-1</f>
        <v>15.829820030416109</v>
      </c>
      <c r="J11" s="28">
        <f t="shared" ref="J11:J16" si="2">PV($C$3,B11,0,F11)*-1</f>
        <v>15.102608695652174</v>
      </c>
      <c r="L11" s="29">
        <v>407636900</v>
      </c>
      <c r="M11" s="30">
        <f>AVERAGE(I18:I20)</f>
        <v>157625591689.59915</v>
      </c>
      <c r="N11" s="31">
        <f>M11/L11</f>
        <v>386.68136199053413</v>
      </c>
      <c r="S11" s="9"/>
      <c r="T11" s="177"/>
      <c r="U11" s="177"/>
      <c r="V11" s="23"/>
      <c r="W11" s="23"/>
      <c r="X11" s="10"/>
      <c r="Y11" s="10"/>
      <c r="Z11" s="10"/>
      <c r="AA11" s="16" t="s">
        <v>22</v>
      </c>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4"/>
    </row>
    <row r="12" spans="2:88" ht="17.399999999999999">
      <c r="B12" s="26">
        <v>2</v>
      </c>
      <c r="C12" s="256">
        <f>C11+1</f>
        <v>2027</v>
      </c>
      <c r="D12" s="27">
        <f t="shared" ref="D12:D15" si="3">(D11)*(1+$C$6)</f>
        <v>22.910956082736991</v>
      </c>
      <c r="E12" s="27">
        <f t="shared" ref="E12:E15" si="4">(E11)*(1+$C$7)</f>
        <v>19.844088916369319</v>
      </c>
      <c r="F12" s="244">
        <f t="shared" ref="F12:F15" si="5">(F11)*(1+$C$8)</f>
        <v>18.062719999999999</v>
      </c>
      <c r="G12" s="247"/>
      <c r="H12" s="246">
        <f t="shared" si="0"/>
        <v>17.323974353676366</v>
      </c>
      <c r="I12" s="27">
        <f t="shared" si="1"/>
        <v>15.004982167387011</v>
      </c>
      <c r="J12" s="28">
        <f t="shared" si="2"/>
        <v>13.65801134215501</v>
      </c>
      <c r="L12" s="179" t="s">
        <v>95</v>
      </c>
      <c r="M12" s="179"/>
      <c r="N12" s="128">
        <v>101155096735</v>
      </c>
      <c r="S12" s="9"/>
      <c r="T12" s="178"/>
      <c r="U12" s="178"/>
      <c r="V12" s="34" t="e" cm="1">
        <f t="array" ref="V12">_xlfn.IFS(T12="Pass",W12,T12="Fail",-W12)</f>
        <v>#N/A</v>
      </c>
      <c r="W12" s="34">
        <v>2</v>
      </c>
      <c r="X12" s="10"/>
      <c r="Y12" s="10"/>
      <c r="Z12" s="10"/>
      <c r="AA12" s="10"/>
      <c r="AB12" s="16" t="s">
        <v>24</v>
      </c>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4"/>
    </row>
    <row r="13" spans="2:88" ht="17.399999999999999">
      <c r="B13" s="26">
        <v>3</v>
      </c>
      <c r="C13" s="256">
        <f t="shared" ref="C13:C16" si="6">C12+1</f>
        <v>2028</v>
      </c>
      <c r="D13" s="27">
        <f t="shared" si="3"/>
        <v>26.835307966215709</v>
      </c>
      <c r="E13" s="27">
        <f t="shared" si="4"/>
        <v>21.63159339196147</v>
      </c>
      <c r="F13" s="244">
        <f t="shared" si="5"/>
        <v>18.785228799999999</v>
      </c>
      <c r="G13" s="247"/>
      <c r="H13" s="246">
        <f t="shared" si="0"/>
        <v>17.644650590098276</v>
      </c>
      <c r="I13" s="27">
        <f t="shared" si="1"/>
        <v>14.223123788583202</v>
      </c>
      <c r="J13" s="28">
        <f t="shared" si="2"/>
        <v>12.351592865948881</v>
      </c>
      <c r="L13" s="179" t="s">
        <v>23</v>
      </c>
      <c r="M13" s="179"/>
      <c r="N13" s="33">
        <v>248.15</v>
      </c>
      <c r="S13" s="9"/>
      <c r="T13" s="177"/>
      <c r="U13" s="177"/>
      <c r="V13" s="23"/>
      <c r="W13" s="36"/>
      <c r="X13" s="16"/>
      <c r="Y13" s="16"/>
      <c r="Z13" s="10"/>
      <c r="AA13" s="16" t="s">
        <v>26</v>
      </c>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4"/>
    </row>
    <row r="14" spans="2:88" ht="17.399999999999999">
      <c r="B14" s="26">
        <v>4</v>
      </c>
      <c r="C14" s="256">
        <f t="shared" si="6"/>
        <v>2029</v>
      </c>
      <c r="D14" s="27">
        <f t="shared" si="3"/>
        <v>31.431850815874444</v>
      </c>
      <c r="E14" s="27">
        <f t="shared" si="4"/>
        <v>23.580111671902497</v>
      </c>
      <c r="F14" s="244">
        <f t="shared" si="5"/>
        <v>19.536637952</v>
      </c>
      <c r="G14" s="247"/>
      <c r="H14" s="246">
        <f t="shared" si="0"/>
        <v>17.971262718972248</v>
      </c>
      <c r="I14" s="27">
        <f t="shared" si="1"/>
        <v>13.482005379856421</v>
      </c>
      <c r="J14" s="28">
        <f t="shared" si="2"/>
        <v>11.170136157032033</v>
      </c>
      <c r="L14" s="175" t="s">
        <v>25</v>
      </c>
      <c r="M14" s="175"/>
      <c r="N14" s="35">
        <f>(N11-N13)/N11</f>
        <v>0.35825714815270909</v>
      </c>
      <c r="S14" s="9"/>
      <c r="T14" s="178"/>
      <c r="U14" s="178"/>
      <c r="V14" s="34" t="e" cm="1">
        <f t="array" ref="V14">_xlfn.IFS(T14="Pass",W14,T14="Fail",-W14)</f>
        <v>#N/A</v>
      </c>
      <c r="W14" s="37">
        <v>2</v>
      </c>
      <c r="X14" s="16"/>
      <c r="Y14" s="16"/>
      <c r="Z14" s="10"/>
      <c r="AA14" s="16"/>
      <c r="AB14" s="10" t="s">
        <v>27</v>
      </c>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4"/>
    </row>
    <row r="15" spans="2:88" ht="17.399999999999999">
      <c r="B15" s="26">
        <v>5</v>
      </c>
      <c r="C15" s="256">
        <f t="shared" si="6"/>
        <v>2030</v>
      </c>
      <c r="D15" s="27">
        <f t="shared" si="3"/>
        <v>36.815722292256901</v>
      </c>
      <c r="E15" s="27">
        <f t="shared" si="4"/>
        <v>25.70414746543895</v>
      </c>
      <c r="F15" s="244">
        <f t="shared" si="5"/>
        <v>20.318103470080001</v>
      </c>
      <c r="G15" s="247"/>
      <c r="H15" s="246">
        <f t="shared" si="0"/>
        <v>18.303920616912759</v>
      </c>
      <c r="I15" s="27">
        <f t="shared" si="1"/>
        <v>12.779504120492749</v>
      </c>
      <c r="J15" s="28">
        <f t="shared" si="2"/>
        <v>10.10168835070723</v>
      </c>
      <c r="S15" s="9"/>
      <c r="T15" s="178"/>
      <c r="U15" s="178"/>
      <c r="V15" s="34" t="e" cm="1">
        <f t="array" ref="V15">_xlfn.IFS(T15="Pass",W15,T15="Fail",-W15)</f>
        <v>#N/A</v>
      </c>
      <c r="W15" s="37">
        <v>4</v>
      </c>
      <c r="X15" s="16"/>
      <c r="Y15" s="16"/>
      <c r="Z15" s="10"/>
      <c r="AA15" s="16"/>
      <c r="AB15" s="10"/>
      <c r="AC15" s="10" t="s">
        <v>28</v>
      </c>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4"/>
    </row>
    <row r="16" spans="2:88" ht="17.399999999999999">
      <c r="B16" s="26">
        <v>5</v>
      </c>
      <c r="C16" s="256">
        <f t="shared" si="6"/>
        <v>2031</v>
      </c>
      <c r="D16" s="38">
        <f>D15*D6</f>
        <v>1261.2118725862269</v>
      </c>
      <c r="E16" s="38">
        <f>E15*D7</f>
        <v>463.07269463857114</v>
      </c>
      <c r="F16" s="245">
        <f>F15*D8</f>
        <v>162.54482776064</v>
      </c>
      <c r="G16" s="249"/>
      <c r="H16" s="246">
        <f t="shared" si="0"/>
        <v>627.04520133186304</v>
      </c>
      <c r="I16" s="27">
        <f t="shared" si="1"/>
        <v>230.22897052618671</v>
      </c>
      <c r="J16" s="28">
        <f t="shared" si="2"/>
        <v>80.813506805657838</v>
      </c>
      <c r="S16" s="9"/>
      <c r="T16" s="178"/>
      <c r="U16" s="178"/>
      <c r="V16" s="34" t="e" cm="1">
        <f t="array" ref="V16">_xlfn.IFS(T16="Pass",W16,T16="Fail",-W16)</f>
        <v>#N/A</v>
      </c>
      <c r="W16" s="37">
        <v>1</v>
      </c>
      <c r="X16" s="16"/>
      <c r="Y16" s="16"/>
      <c r="Z16" s="10"/>
      <c r="AA16" s="10"/>
      <c r="AB16" s="10"/>
      <c r="AC16" s="10"/>
      <c r="AD16" s="16" t="s">
        <v>29</v>
      </c>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4"/>
    </row>
    <row r="17" spans="2:70" ht="17.399999999999999">
      <c r="C17" s="124"/>
      <c r="D17" s="125"/>
      <c r="E17" s="125"/>
      <c r="F17" s="125"/>
      <c r="G17" s="125"/>
      <c r="H17" s="80"/>
      <c r="I17" s="126" t="s">
        <v>33</v>
      </c>
      <c r="J17" s="99" t="s">
        <v>94</v>
      </c>
      <c r="S17" s="9"/>
      <c r="T17" s="101"/>
      <c r="U17" s="101"/>
      <c r="V17" s="34"/>
      <c r="W17" s="37"/>
      <c r="X17" s="16"/>
      <c r="Y17" s="16"/>
      <c r="Z17" s="10"/>
      <c r="AA17" s="10"/>
      <c r="AB17" s="10"/>
      <c r="AC17" s="10"/>
      <c r="AD17" s="16"/>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4"/>
    </row>
    <row r="18" spans="2:70" ht="15.6">
      <c r="H18" s="39" t="s">
        <v>30</v>
      </c>
      <c r="I18" s="127">
        <f>SUM(H11:H16)*L11</f>
        <v>291581914629.45526</v>
      </c>
      <c r="J18" s="127">
        <f>I18/$L$11</f>
        <v>715.29813574152695</v>
      </c>
    </row>
    <row r="19" spans="2:70" ht="15.6">
      <c r="H19" s="39" t="s">
        <v>31</v>
      </c>
      <c r="I19" s="127">
        <f>SUM(I11:I16)*L11</f>
        <v>122922257427.04897</v>
      </c>
      <c r="J19" s="127">
        <f t="shared" ref="J19:J20" si="7">I19/$L$11</f>
        <v>301.54840601292221</v>
      </c>
    </row>
    <row r="20" spans="2:70" ht="15.6">
      <c r="H20" s="39" t="s">
        <v>32</v>
      </c>
      <c r="I20" s="127">
        <f>SUM(J11:J16)*L11</f>
        <v>58372603012.293243</v>
      </c>
      <c r="J20" s="127">
        <f t="shared" si="7"/>
        <v>143.19754421715317</v>
      </c>
    </row>
    <row r="21" spans="2:70" ht="15.6">
      <c r="K21" s="40"/>
    </row>
    <row r="22" spans="2:70" ht="15.6">
      <c r="B22" s="43"/>
      <c r="C22" s="55"/>
      <c r="D22" s="118"/>
      <c r="E22" s="119"/>
      <c r="F22" s="55"/>
      <c r="G22" s="55"/>
      <c r="H22" s="56"/>
    </row>
    <row r="23" spans="2:70" ht="19.05" customHeight="1">
      <c r="B23" s="122" t="s">
        <v>34</v>
      </c>
      <c r="C23" s="123" t="s">
        <v>96</v>
      </c>
      <c r="D23" s="123" t="s">
        <v>97</v>
      </c>
      <c r="E23" s="102"/>
      <c r="F23" s="102"/>
      <c r="G23" s="102"/>
      <c r="H23" s="120"/>
    </row>
    <row r="24" spans="2:70" ht="15.6">
      <c r="B24" s="115">
        <v>2016</v>
      </c>
      <c r="C24" s="129">
        <v>2.3199999999999998</v>
      </c>
      <c r="D24" s="1" t="s">
        <v>77</v>
      </c>
      <c r="E24" s="103"/>
      <c r="F24" s="103"/>
      <c r="G24" s="103"/>
      <c r="H24" s="117"/>
      <c r="S24">
        <v>2015</v>
      </c>
      <c r="T24">
        <v>2014</v>
      </c>
      <c r="U24">
        <v>2013</v>
      </c>
      <c r="V24">
        <v>2012</v>
      </c>
      <c r="W24">
        <v>2011</v>
      </c>
      <c r="X24">
        <v>2010</v>
      </c>
      <c r="Y24">
        <v>2009</v>
      </c>
      <c r="Z24">
        <v>2008</v>
      </c>
      <c r="AA24">
        <v>2007</v>
      </c>
      <c r="AB24">
        <v>2006</v>
      </c>
      <c r="AC24">
        <v>2005</v>
      </c>
      <c r="AD24">
        <v>2004</v>
      </c>
      <c r="AE24">
        <v>2003</v>
      </c>
      <c r="AF24">
        <v>2002</v>
      </c>
      <c r="AG24">
        <v>2001</v>
      </c>
      <c r="AH24">
        <v>2000</v>
      </c>
      <c r="AI24">
        <v>1999</v>
      </c>
      <c r="AJ24">
        <v>1998</v>
      </c>
      <c r="AK24">
        <v>1997</v>
      </c>
      <c r="AL24">
        <v>1996</v>
      </c>
      <c r="AM24">
        <v>1995</v>
      </c>
      <c r="AN24">
        <v>1994</v>
      </c>
      <c r="AO24">
        <v>1993</v>
      </c>
      <c r="AP24">
        <v>1992</v>
      </c>
      <c r="AQ24">
        <v>1991</v>
      </c>
      <c r="AR24">
        <v>1990</v>
      </c>
      <c r="AS24">
        <v>1989</v>
      </c>
      <c r="AT24">
        <v>1988</v>
      </c>
      <c r="AU24">
        <v>1987</v>
      </c>
      <c r="AV24">
        <v>1986</v>
      </c>
      <c r="AW24">
        <v>1985</v>
      </c>
      <c r="AX24">
        <v>1984</v>
      </c>
      <c r="AY24">
        <v>1983</v>
      </c>
      <c r="AZ24">
        <v>1982</v>
      </c>
      <c r="BA24">
        <v>1981</v>
      </c>
      <c r="BB24">
        <v>1980</v>
      </c>
      <c r="BC24">
        <v>1979</v>
      </c>
      <c r="BD24">
        <v>1978</v>
      </c>
      <c r="BE24">
        <v>1977</v>
      </c>
      <c r="BF24">
        <v>1976</v>
      </c>
      <c r="BG24">
        <v>1975</v>
      </c>
      <c r="BH24">
        <v>1974</v>
      </c>
      <c r="BI24">
        <v>1973</v>
      </c>
      <c r="BJ24">
        <v>1972</v>
      </c>
      <c r="BK24">
        <v>1971</v>
      </c>
      <c r="BL24">
        <v>1970</v>
      </c>
      <c r="BM24">
        <v>1969</v>
      </c>
      <c r="BN24">
        <v>1968</v>
      </c>
      <c r="BO24">
        <v>1967</v>
      </c>
      <c r="BP24">
        <v>1966</v>
      </c>
      <c r="BQ24">
        <v>1965</v>
      </c>
      <c r="BR24">
        <v>1964</v>
      </c>
    </row>
    <row r="25" spans="2:70" ht="15.6">
      <c r="B25" s="115">
        <v>2017</v>
      </c>
      <c r="C25" s="129">
        <v>3.38</v>
      </c>
      <c r="D25" s="8">
        <f>RATE(1,0,-C24,C25)</f>
        <v>0.4568965517241379</v>
      </c>
      <c r="H25" s="57"/>
      <c r="I25" s="106"/>
      <c r="J25" s="106"/>
      <c r="K25" s="106"/>
      <c r="L25" s="106"/>
      <c r="M25" s="106"/>
      <c r="N25" s="106"/>
      <c r="O25" s="106"/>
      <c r="P25" s="106"/>
      <c r="Q25" s="106"/>
      <c r="R25" s="106"/>
    </row>
    <row r="26" spans="2:70" ht="15.6">
      <c r="B26" s="115">
        <v>2018</v>
      </c>
      <c r="C26" s="129">
        <v>5.2</v>
      </c>
      <c r="D26" s="8">
        <f t="shared" ref="D26:D33" si="8">RATE(1,0,-C25,C26)</f>
        <v>0.53846153846153866</v>
      </c>
      <c r="H26" s="57"/>
    </row>
    <row r="27" spans="2:70" ht="15.6">
      <c r="B27" s="115">
        <v>2019</v>
      </c>
      <c r="C27" s="129">
        <v>6.01</v>
      </c>
      <c r="D27" s="8">
        <f t="shared" si="8"/>
        <v>0.15576923076923069</v>
      </c>
      <c r="H27" s="57"/>
    </row>
    <row r="28" spans="2:70" ht="15.6">
      <c r="B28" s="115">
        <v>2020</v>
      </c>
      <c r="C28" s="129">
        <v>10.85</v>
      </c>
      <c r="D28" s="8">
        <f t="shared" si="8"/>
        <v>0.80532445923460905</v>
      </c>
      <c r="H28" s="57"/>
    </row>
    <row r="29" spans="2:70" ht="15.6">
      <c r="B29" s="115">
        <v>2021</v>
      </c>
      <c r="C29" s="129">
        <v>10.02</v>
      </c>
      <c r="D29" s="8">
        <f t="shared" si="8"/>
        <v>-7.6497695852534561E-2</v>
      </c>
      <c r="H29" s="57"/>
    </row>
    <row r="30" spans="2:70" ht="15.6">
      <c r="B30" s="115">
        <v>2022</v>
      </c>
      <c r="C30" s="129">
        <v>10.1</v>
      </c>
      <c r="D30" s="8">
        <f t="shared" si="8"/>
        <v>7.9840319361277404E-3</v>
      </c>
      <c r="E30" s="100"/>
      <c r="F30" s="100" t="s">
        <v>84</v>
      </c>
      <c r="G30" s="100"/>
      <c r="H30" s="130" t="s">
        <v>98</v>
      </c>
    </row>
    <row r="31" spans="2:70" ht="15.6">
      <c r="B31" s="115">
        <v>2023</v>
      </c>
      <c r="C31" s="129">
        <v>11.83</v>
      </c>
      <c r="D31" s="8">
        <f t="shared" si="8"/>
        <v>0.17128712871287136</v>
      </c>
      <c r="E31" s="1" t="s">
        <v>78</v>
      </c>
      <c r="F31" s="8">
        <f>RATE(10,0,-C24,C33)</f>
        <v>0.21821193105343487</v>
      </c>
      <c r="G31" s="8"/>
      <c r="H31" s="62">
        <f>MEDIAN(D25:D33)</f>
        <v>0.17128712871287136</v>
      </c>
    </row>
    <row r="32" spans="2:70" ht="15.6">
      <c r="B32" s="115">
        <v>2024</v>
      </c>
      <c r="C32" s="129">
        <v>12.36</v>
      </c>
      <c r="D32" s="8">
        <f t="shared" si="8"/>
        <v>4.4801352493660275E-2</v>
      </c>
      <c r="E32" s="1" t="s">
        <v>79</v>
      </c>
      <c r="F32" s="8">
        <f>RATE(5,0,-C28,C33)</f>
        <v>9.0077427244222977E-2</v>
      </c>
      <c r="G32" s="8"/>
      <c r="H32" s="62">
        <f>MEDIAN(D29:D33)</f>
        <v>4.4801352493660275E-2</v>
      </c>
    </row>
    <row r="33" spans="2:17" ht="15.6">
      <c r="B33" s="115">
        <v>2025</v>
      </c>
      <c r="C33" s="129">
        <v>16.7</v>
      </c>
      <c r="D33" s="8">
        <f t="shared" si="8"/>
        <v>0.3511326860841425</v>
      </c>
      <c r="E33" s="1" t="s">
        <v>80</v>
      </c>
      <c r="F33" s="8">
        <f>RATE(3,0,-C30,C33)</f>
        <v>0.18249242076044001</v>
      </c>
      <c r="G33" s="8"/>
      <c r="H33" s="62">
        <f>MEDIAN(D31:D33)</f>
        <v>0.17128712871287136</v>
      </c>
    </row>
    <row r="34" spans="2:17">
      <c r="B34" s="48"/>
      <c r="C34" s="58"/>
      <c r="D34" s="58"/>
      <c r="E34" s="58"/>
      <c r="F34" s="58"/>
      <c r="G34" s="58"/>
      <c r="H34" s="65"/>
    </row>
    <row r="35" spans="2:17" ht="19.05" customHeight="1"/>
    <row r="36" spans="2:17" ht="19.05" customHeight="1">
      <c r="B36" s="43"/>
      <c r="C36" s="55"/>
      <c r="D36" s="55"/>
      <c r="E36" s="55"/>
      <c r="F36" s="56"/>
      <c r="G36" s="235"/>
    </row>
    <row r="37" spans="2:17" ht="15.6">
      <c r="B37" s="122" t="s">
        <v>34</v>
      </c>
      <c r="C37" s="100" t="s">
        <v>99</v>
      </c>
      <c r="F37" s="57"/>
      <c r="G37" s="235"/>
    </row>
    <row r="38" spans="2:17" ht="15.6">
      <c r="B38" s="115">
        <v>2016</v>
      </c>
      <c r="C38" s="73">
        <v>42.43</v>
      </c>
      <c r="F38" s="57"/>
      <c r="G38" s="235"/>
    </row>
    <row r="39" spans="2:17" ht="15.6">
      <c r="B39" s="115">
        <v>2017</v>
      </c>
      <c r="C39" s="73">
        <v>52.24</v>
      </c>
      <c r="F39" s="57"/>
      <c r="G39" s="235"/>
      <c r="H39" s="106"/>
      <c r="I39" s="106"/>
      <c r="J39" s="106"/>
      <c r="K39" s="106"/>
      <c r="L39" s="106"/>
      <c r="M39" s="106"/>
      <c r="N39" s="106"/>
      <c r="O39" s="106"/>
      <c r="P39" s="106"/>
      <c r="Q39" s="106"/>
    </row>
    <row r="40" spans="2:17" ht="15.6">
      <c r="B40" s="115">
        <v>2018</v>
      </c>
      <c r="C40" s="73">
        <v>47.27</v>
      </c>
      <c r="F40" s="57"/>
      <c r="G40" s="235"/>
    </row>
    <row r="41" spans="2:17" ht="15.6">
      <c r="B41" s="115">
        <v>2019</v>
      </c>
      <c r="C41" s="73">
        <v>50.77</v>
      </c>
      <c r="F41" s="57"/>
      <c r="G41" s="235"/>
    </row>
    <row r="42" spans="2:17" ht="15.6">
      <c r="B42" s="115">
        <v>2020</v>
      </c>
      <c r="C42" s="73">
        <v>43.51</v>
      </c>
      <c r="F42" s="57"/>
      <c r="G42" s="235"/>
    </row>
    <row r="43" spans="2:17" ht="15.6">
      <c r="B43" s="115">
        <v>2021</v>
      </c>
      <c r="C43" s="73">
        <v>60.83</v>
      </c>
      <c r="F43" s="57"/>
      <c r="G43" s="235"/>
    </row>
    <row r="44" spans="2:17" ht="15.6">
      <c r="B44" s="115">
        <v>2022</v>
      </c>
      <c r="C44" s="73">
        <v>33.380000000000003</v>
      </c>
      <c r="D44" s="174" t="s">
        <v>86</v>
      </c>
      <c r="E44" s="174"/>
      <c r="F44" s="57"/>
      <c r="G44" s="235"/>
    </row>
    <row r="45" spans="2:17" ht="15.6">
      <c r="B45" s="115">
        <v>2023</v>
      </c>
      <c r="C45" s="73">
        <v>51.37</v>
      </c>
      <c r="D45" t="s">
        <v>87</v>
      </c>
      <c r="E45" s="121">
        <f>AVERAGE(C38:C47)</f>
        <v>44.144000000000005</v>
      </c>
      <c r="F45" s="57"/>
      <c r="G45" s="235"/>
    </row>
    <row r="46" spans="2:17" ht="15.6">
      <c r="B46" s="115">
        <v>2024</v>
      </c>
      <c r="C46" s="73">
        <v>40.85</v>
      </c>
      <c r="D46" t="s">
        <v>88</v>
      </c>
      <c r="E46" s="121">
        <f>AVERAGE(C43:C47)</f>
        <v>41.043999999999997</v>
      </c>
      <c r="F46" s="57"/>
      <c r="G46" s="235"/>
    </row>
    <row r="47" spans="2:17" ht="15.6">
      <c r="B47" s="115">
        <v>2025</v>
      </c>
      <c r="C47" s="73">
        <v>18.79</v>
      </c>
      <c r="D47" t="s">
        <v>89</v>
      </c>
      <c r="E47" s="121">
        <f>AVERAGE(C45:C47)</f>
        <v>37.00333333333333</v>
      </c>
      <c r="F47" s="57"/>
      <c r="G47" s="235"/>
    </row>
    <row r="48" spans="2:17">
      <c r="B48" s="48"/>
      <c r="C48" s="58"/>
      <c r="D48" s="58"/>
      <c r="E48" s="58"/>
      <c r="F48" s="59"/>
      <c r="G48" s="235"/>
    </row>
    <row r="54" spans="5:7">
      <c r="E54" s="20"/>
    </row>
    <row r="55" spans="5:7">
      <c r="E55" s="32"/>
    </row>
    <row r="57" spans="5:7">
      <c r="E57" s="49"/>
    </row>
    <row r="60" spans="5:7">
      <c r="E60" s="49"/>
      <c r="F60" s="49"/>
      <c r="G60" s="49"/>
    </row>
    <row r="96" spans="19:70" ht="17.399999999999999">
      <c r="S96" s="9"/>
      <c r="T96" s="178"/>
      <c r="U96" s="178"/>
      <c r="V96" s="34" t="e" cm="1">
        <f t="array" ref="V96">_xlfn.IFS(T96="Pass",W96,T96="Fail",-W96)</f>
        <v>#N/A</v>
      </c>
      <c r="W96" s="34">
        <v>3</v>
      </c>
      <c r="X96" s="10"/>
      <c r="Y96" s="10"/>
      <c r="Z96" s="10"/>
      <c r="AA96" s="10"/>
      <c r="AB96" s="10" t="s">
        <v>38</v>
      </c>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4"/>
    </row>
    <row r="97" spans="19:70" ht="17.399999999999999">
      <c r="S97" s="9"/>
      <c r="T97" s="177"/>
      <c r="U97" s="177"/>
      <c r="V97" s="23"/>
      <c r="W97" s="23"/>
      <c r="X97" s="10"/>
      <c r="Y97" s="10"/>
      <c r="Z97" s="10"/>
      <c r="AA97" s="10"/>
      <c r="AB97" s="10"/>
      <c r="AC97" s="10" t="s">
        <v>39</v>
      </c>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4"/>
    </row>
    <row r="98" spans="19:70" ht="17.399999999999999">
      <c r="S98" s="9"/>
      <c r="T98" s="180" t="s">
        <v>40</v>
      </c>
      <c r="U98" s="180"/>
      <c r="V98" s="181" t="e">
        <f>SUM(V12:V97)</f>
        <v>#N/A</v>
      </c>
      <c r="W98" s="181"/>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4"/>
    </row>
    <row r="99" spans="19:70" ht="17.399999999999999">
      <c r="S99" s="50"/>
      <c r="T99" s="51"/>
      <c r="U99" s="51"/>
      <c r="V99" s="52"/>
      <c r="W99" s="53">
        <f>SUM(W12:W97)</f>
        <v>2023</v>
      </c>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4"/>
    </row>
  </sheetData>
  <mergeCells count="17">
    <mergeCell ref="T8:W8"/>
    <mergeCell ref="T9:U9"/>
    <mergeCell ref="T10:U10"/>
    <mergeCell ref="T11:U11"/>
    <mergeCell ref="L12:M12"/>
    <mergeCell ref="T12:U12"/>
    <mergeCell ref="L13:M13"/>
    <mergeCell ref="T13:U13"/>
    <mergeCell ref="L14:M14"/>
    <mergeCell ref="T14:U14"/>
    <mergeCell ref="T15:U15"/>
    <mergeCell ref="T16:U16"/>
    <mergeCell ref="D44:E44"/>
    <mergeCell ref="T96:U96"/>
    <mergeCell ref="T97:U97"/>
    <mergeCell ref="T98:U98"/>
    <mergeCell ref="V98:W98"/>
  </mergeCells>
  <conditionalFormatting sqref="N14">
    <cfRule type="cellIs" dxfId="11" priority="1" operator="lessThan">
      <formula>0</formula>
    </cfRule>
    <cfRule type="cellIs" dxfId="10" priority="2" operator="greaterThan">
      <formula>0</formula>
    </cfRule>
  </conditionalFormatting>
  <conditionalFormatting sqref="V98:W98">
    <cfRule type="cellIs" dxfId="9" priority="3" operator="between">
      <formula>$H$99*0.75</formula>
      <formula>$H$99*0.9</formula>
    </cfRule>
    <cfRule type="cellIs" dxfId="8" priority="4" operator="lessThan">
      <formula>$H$99*0.75</formula>
    </cfRule>
    <cfRule type="cellIs" dxfId="7" priority="5" operator="greaterThan">
      <formula>$H$99*0.9</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1B47A-8888-40C5-9331-EE826E44E95E}">
  <dimension ref="A1:AY93"/>
  <sheetViews>
    <sheetView showGridLines="0" zoomScale="80" zoomScaleNormal="80" workbookViewId="0">
      <selection activeCell="F2" sqref="F2"/>
    </sheetView>
  </sheetViews>
  <sheetFormatPr defaultColWidth="11.88671875" defaultRowHeight="14.4"/>
  <cols>
    <col min="1" max="1" width="2.77734375" customWidth="1"/>
    <col min="3" max="3" width="13.33203125" bestFit="1" customWidth="1"/>
    <col min="4" max="4" width="13.109375" customWidth="1"/>
    <col min="5" max="5" width="14.33203125" bestFit="1" customWidth="1"/>
    <col min="6" max="6" width="21.6640625" bestFit="1" customWidth="1"/>
    <col min="7" max="7" width="13.109375" bestFit="1" customWidth="1"/>
    <col min="8" max="8" width="13.6640625" bestFit="1" customWidth="1"/>
    <col min="9" max="9" width="19" bestFit="1" customWidth="1"/>
    <col min="10" max="10" width="15.5546875" bestFit="1" customWidth="1"/>
    <col min="11" max="11" width="14.21875" customWidth="1"/>
    <col min="12" max="12" width="12.77734375" customWidth="1"/>
    <col min="14" max="14" width="14.77734375" customWidth="1"/>
    <col min="15" max="15" width="17.77734375" customWidth="1"/>
    <col min="16" max="16" width="17.33203125" bestFit="1" customWidth="1"/>
    <col min="17" max="17" width="18.21875" bestFit="1" customWidth="1"/>
    <col min="18" max="18" width="12.77734375" bestFit="1" customWidth="1"/>
    <col min="19" max="19" width="22.77734375" bestFit="1" customWidth="1"/>
    <col min="20" max="20" width="14.21875" customWidth="1"/>
    <col min="21" max="21" width="13.6640625" customWidth="1"/>
    <col min="27" max="27" width="21.21875" customWidth="1"/>
    <col min="28" max="28" width="20.109375" bestFit="1" customWidth="1"/>
    <col min="29" max="29" width="15.5546875" bestFit="1" customWidth="1"/>
  </cols>
  <sheetData>
    <row r="1" spans="1:24">
      <c r="A1" t="e" vm="1">
        <v>#VALUE!</v>
      </c>
    </row>
    <row r="4" spans="1:24" ht="15" thickBot="1"/>
    <row r="5" spans="1:24">
      <c r="B5" s="41"/>
      <c r="C5" s="60"/>
      <c r="D5" s="60"/>
      <c r="E5" s="60"/>
      <c r="F5" s="60"/>
      <c r="G5" s="60"/>
      <c r="H5" s="60"/>
      <c r="I5" s="60"/>
      <c r="J5" s="60"/>
      <c r="K5" s="60"/>
      <c r="L5" s="60"/>
      <c r="M5" s="60"/>
      <c r="N5" s="60"/>
      <c r="O5" s="60"/>
      <c r="P5" s="60"/>
      <c r="Q5" s="60"/>
      <c r="R5" s="60"/>
      <c r="S5" s="60"/>
      <c r="T5" s="60"/>
      <c r="U5" s="60"/>
      <c r="V5" s="60"/>
      <c r="W5" s="60"/>
      <c r="X5" s="61"/>
    </row>
    <row r="6" spans="1:24">
      <c r="B6" s="42"/>
      <c r="X6" s="44"/>
    </row>
    <row r="7" spans="1:24" ht="15.6">
      <c r="B7" s="42"/>
      <c r="H7" s="183" t="s">
        <v>47</v>
      </c>
      <c r="I7" s="185"/>
      <c r="J7" s="185"/>
      <c r="K7" s="185"/>
      <c r="L7" s="184"/>
      <c r="N7" s="220" t="s">
        <v>48</v>
      </c>
      <c r="O7" s="221"/>
      <c r="P7" s="221"/>
      <c r="Q7" s="221"/>
      <c r="R7" s="221"/>
      <c r="S7" s="221"/>
      <c r="T7" s="221"/>
      <c r="U7" s="221"/>
      <c r="V7" s="221"/>
      <c r="W7" s="222"/>
      <c r="X7" s="44"/>
    </row>
    <row r="8" spans="1:24" ht="16.05" customHeight="1">
      <c r="B8" s="42"/>
      <c r="H8" s="217" t="s">
        <v>34</v>
      </c>
      <c r="I8" s="192" t="s">
        <v>49</v>
      </c>
      <c r="J8" s="192" t="s">
        <v>50</v>
      </c>
      <c r="K8" s="192" t="s">
        <v>51</v>
      </c>
      <c r="L8" s="199" t="s">
        <v>15</v>
      </c>
      <c r="N8" s="78" t="s">
        <v>52</v>
      </c>
      <c r="O8" s="18"/>
      <c r="P8" s="133" t="s">
        <v>121</v>
      </c>
      <c r="Q8" s="133" t="s">
        <v>122</v>
      </c>
      <c r="R8" s="133" t="s">
        <v>123</v>
      </c>
      <c r="S8" s="133" t="s">
        <v>124</v>
      </c>
      <c r="T8" s="133" t="s">
        <v>125</v>
      </c>
      <c r="U8" s="186" t="s">
        <v>37</v>
      </c>
      <c r="V8" s="188" t="s">
        <v>76</v>
      </c>
      <c r="W8" s="190" t="s">
        <v>53</v>
      </c>
      <c r="X8" s="44"/>
    </row>
    <row r="9" spans="1:24" ht="15.6">
      <c r="B9" s="42"/>
      <c r="H9" s="187"/>
      <c r="I9" s="189"/>
      <c r="J9" s="189"/>
      <c r="K9" s="189"/>
      <c r="L9" s="191"/>
      <c r="N9" s="72" t="s">
        <v>54</v>
      </c>
      <c r="O9" s="79"/>
      <c r="P9" s="22" t="str">
        <f>P8</f>
        <v>Salesforce</v>
      </c>
      <c r="Q9" s="22" t="str">
        <f t="shared" ref="Q9:T9" si="0">Q8</f>
        <v>Microsoft</v>
      </c>
      <c r="R9" s="22" t="str">
        <f t="shared" si="0"/>
        <v>Oracle</v>
      </c>
      <c r="S9" s="22" t="str">
        <f t="shared" si="0"/>
        <v>SAP</v>
      </c>
      <c r="T9" s="22" t="str">
        <f t="shared" si="0"/>
        <v>Docusign</v>
      </c>
      <c r="U9" s="187"/>
      <c r="V9" s="189"/>
      <c r="W9" s="191"/>
      <c r="X9" s="44"/>
    </row>
    <row r="10" spans="1:24">
      <c r="B10" s="42"/>
      <c r="C10" s="193" t="s">
        <v>55</v>
      </c>
      <c r="D10" s="194"/>
      <c r="E10" s="194"/>
      <c r="F10" s="195"/>
      <c r="H10" s="45">
        <v>2016</v>
      </c>
      <c r="I10" s="66">
        <f>_xlfn.XLOOKUP(H10,$H$42:$H$51,$I$42:$I$51)</f>
        <v>50189.033333333326</v>
      </c>
      <c r="J10" s="66">
        <f>_xlfn.XLOOKUP(H10,'DCF (Sales)'!$B$24:$B$33,'DCF (Sales)'!$C$24:$C$33)</f>
        <v>5854.43</v>
      </c>
      <c r="K10" s="80">
        <f>_xlfn.XLOOKUP(H10,$M$42:$M$51,$N$42:$N$51)</f>
        <v>7317.1306666666669</v>
      </c>
      <c r="L10" s="67">
        <f>_xlfn.XLOOKUP(H10,'DCF (FCF)'!$B$24:$B$33,'DCF (FCF)'!$C$24:$C$33)</f>
        <v>1995.923</v>
      </c>
      <c r="N10" s="203" t="s">
        <v>46</v>
      </c>
      <c r="O10" t="s">
        <v>56</v>
      </c>
      <c r="P10" s="73">
        <v>7.74</v>
      </c>
      <c r="Q10" s="73">
        <v>9.6999999999999993</v>
      </c>
      <c r="R10" s="73">
        <v>5.84</v>
      </c>
      <c r="S10" s="73">
        <v>5.5</v>
      </c>
      <c r="T10" s="73">
        <v>11.96</v>
      </c>
      <c r="U10" s="81">
        <f>AVERAGE(P10:T10)</f>
        <v>8.1479999999999997</v>
      </c>
      <c r="V10" s="73">
        <f>D30</f>
        <v>11.709698703297748</v>
      </c>
      <c r="W10" s="57" t="str" cm="1">
        <f t="array" ref="W10">_xlfn.IFS(V10&gt;U10*1.15,"Yes",V10&lt;U10*0.85,"Yes","TRUE","No")</f>
        <v>Yes</v>
      </c>
      <c r="X10" s="182" t="s">
        <v>126</v>
      </c>
    </row>
    <row r="11" spans="1:24">
      <c r="B11" s="42"/>
      <c r="C11" s="196"/>
      <c r="D11" s="197"/>
      <c r="E11" s="197"/>
      <c r="F11" s="198"/>
      <c r="H11" s="45">
        <v>2017</v>
      </c>
      <c r="I11" s="66">
        <f>_xlfn.XLOOKUP(H11,$H$42:$H$51,$I$42:$I$51)</f>
        <v>73870.100000000006</v>
      </c>
      <c r="J11" s="66">
        <f>_xlfn.XLOOKUP(H11,'DCF (Sales)'!$B$24:$B$33,'DCF (Sales)'!$C$24:$C$33)</f>
        <v>7301.5050000000001</v>
      </c>
      <c r="K11" s="80">
        <f>_xlfn.XLOOKUP(H11,$M$42:$M$51,$N$42:$N$51)</f>
        <v>8005.7477499999995</v>
      </c>
      <c r="L11" s="67">
        <f>_xlfn.XLOOKUP(H11,'DCF (FCF)'!$B$24:$B$33,'DCF (FCF)'!$C$24:$C$33)</f>
        <v>2734.7310000000002</v>
      </c>
      <c r="N11" s="203"/>
      <c r="O11" t="s">
        <v>57</v>
      </c>
      <c r="P11" s="73">
        <v>4.92</v>
      </c>
      <c r="Q11" s="73">
        <v>10.6</v>
      </c>
      <c r="R11" s="73">
        <v>8.5299999999999994</v>
      </c>
      <c r="S11" s="73">
        <v>4.57</v>
      </c>
      <c r="T11" s="73">
        <v>15.4</v>
      </c>
      <c r="U11" s="81">
        <f t="shared" ref="U11:U12" si="1">AVERAGE(P11:T11)</f>
        <v>8.8039999999999985</v>
      </c>
      <c r="V11" s="73">
        <f>E30</f>
        <v>13.719339916598685</v>
      </c>
      <c r="W11" s="57" t="str" cm="1">
        <f t="array" ref="W11">_xlfn.IFS(V11&gt;U11*1.15,"Yes",V11&lt;U11*0.85,"Yes","TRUE","No")</f>
        <v>Yes</v>
      </c>
      <c r="X11" s="182"/>
    </row>
    <row r="12" spans="1:24">
      <c r="B12" s="42"/>
      <c r="D12" s="217" t="s">
        <v>58</v>
      </c>
      <c r="E12" s="218">
        <v>0.4</v>
      </c>
      <c r="H12" s="45">
        <v>2018</v>
      </c>
      <c r="I12" s="66">
        <f>_xlfn.XLOOKUP(H12,$H$42:$H$51,$I$42:$I$51)</f>
        <v>119689.5</v>
      </c>
      <c r="J12" s="66">
        <f>_xlfn.XLOOKUP(H12,'DCF (Sales)'!$B$24:$B$33,'DCF (Sales)'!$C$24:$C$33)</f>
        <v>9030.0079999999998</v>
      </c>
      <c r="K12" s="80">
        <f>_xlfn.XLOOKUP(H12,$M$42:$M$51,$N$42:$N$51)</f>
        <v>8890.9124999999985</v>
      </c>
      <c r="L12" s="67">
        <f>_xlfn.XLOOKUP(H12,'DCF (FCF)'!$B$24:$B$33,'DCF (FCF)'!$C$24:$C$33)</f>
        <v>3762.7249999999999</v>
      </c>
      <c r="N12" s="204"/>
      <c r="O12" s="58" t="s">
        <v>59</v>
      </c>
      <c r="P12" s="74">
        <v>34.68</v>
      </c>
      <c r="Q12" s="74">
        <v>32.78</v>
      </c>
      <c r="R12" s="74">
        <v>21.42</v>
      </c>
      <c r="S12" s="74">
        <v>34.86</v>
      </c>
      <c r="T12" s="74">
        <v>29.83</v>
      </c>
      <c r="U12" s="82">
        <f t="shared" si="1"/>
        <v>30.713999999999999</v>
      </c>
      <c r="V12" s="74">
        <f>F30</f>
        <v>29.958292984695952</v>
      </c>
      <c r="W12" s="59" t="str" cm="1">
        <f t="array" ref="W12">_xlfn.IFS(V12&gt;U12*1.15,"Yes",V12&lt;U12*0.85,"Yes","TRUE","No")</f>
        <v>No</v>
      </c>
      <c r="X12" s="182"/>
    </row>
    <row r="13" spans="1:24">
      <c r="B13" s="42"/>
      <c r="D13" s="187"/>
      <c r="E13" s="219"/>
      <c r="H13" s="45">
        <v>2019</v>
      </c>
      <c r="I13" s="66">
        <f>_xlfn.XLOOKUP(H13,$H$42:$H$51,$I$42:$I$51)</f>
        <v>137316.5</v>
      </c>
      <c r="J13" s="66">
        <f>_xlfn.XLOOKUP(H13,'DCF (Sales)'!$B$24:$B$33,'DCF (Sales)'!$C$24:$C$33)</f>
        <v>11171.297</v>
      </c>
      <c r="K13" s="80">
        <f>_xlfn.XLOOKUP(H13,$M$42:$M$51,$N$42:$N$51)</f>
        <v>10144.0265</v>
      </c>
      <c r="L13" s="67">
        <f>_xlfn.XLOOKUP(H13,'DCF (FCF)'!$B$24:$B$33,'DCF (FCF)'!$C$24:$C$33)</f>
        <v>4027.3339999999998</v>
      </c>
      <c r="N13" s="203" t="s">
        <v>44</v>
      </c>
      <c r="O13" t="s">
        <v>56</v>
      </c>
      <c r="P13" s="73">
        <v>6.99</v>
      </c>
      <c r="Q13" s="73">
        <v>11.77</v>
      </c>
      <c r="R13" s="73">
        <v>6.95</v>
      </c>
      <c r="S13" s="73">
        <v>6.06</v>
      </c>
      <c r="T13" s="73">
        <v>7.7</v>
      </c>
      <c r="U13" s="81">
        <f>AVERAGE(P13:T13)</f>
        <v>7.8940000000000001</v>
      </c>
      <c r="V13" s="73">
        <f>D31</f>
        <v>11.348570460846293</v>
      </c>
      <c r="W13" s="57" t="str" cm="1">
        <f t="array" ref="W13">_xlfn.IFS(V13&gt;U13*1.15,"Yes",V13&lt;U13*0.85,"Yes","TRUE","No")</f>
        <v>Yes</v>
      </c>
      <c r="X13" s="182"/>
    </row>
    <row r="14" spans="1:24">
      <c r="B14" s="42"/>
      <c r="H14" s="45">
        <v>2020</v>
      </c>
      <c r="I14" s="66">
        <f>_xlfn.XLOOKUP(H14,$H$42:$H$51,$I$42:$I$51)</f>
        <v>207402</v>
      </c>
      <c r="J14" s="66">
        <f>_xlfn.XLOOKUP(H14,'DCF (Sales)'!$B$24:$B$33,'DCF (Sales)'!$C$24:$C$33)</f>
        <v>12868</v>
      </c>
      <c r="K14" s="80">
        <f>_xlfn.XLOOKUP(H14,$M$42:$M$51,$N$42:$N$51)</f>
        <v>11580.75</v>
      </c>
      <c r="L14" s="67">
        <f>_xlfn.XLOOKUP(H14,'DCF (FCF)'!$B$24:$B$33,'DCF (FCF)'!$C$24:$C$33)</f>
        <v>5308</v>
      </c>
      <c r="N14" s="203"/>
      <c r="O14" t="s">
        <v>57</v>
      </c>
      <c r="P14" s="73">
        <v>3.91</v>
      </c>
      <c r="Q14" s="73">
        <v>11.69</v>
      </c>
      <c r="R14" s="73">
        <v>25.97</v>
      </c>
      <c r="S14" s="73">
        <v>4.6500000000000004</v>
      </c>
      <c r="T14" s="73">
        <v>10.58</v>
      </c>
      <c r="U14" s="81">
        <f t="shared" ref="U14:U15" si="2">AVERAGE(P14:T14)</f>
        <v>11.36</v>
      </c>
      <c r="V14" s="73">
        <f>E31</f>
        <v>15.239851883453321</v>
      </c>
      <c r="W14" s="57" t="str" cm="1">
        <f t="array" ref="W14">_xlfn.IFS(V14&gt;U14*1.15,"Yes",V14&lt;U14*0.85,"Yes","TRUE","No")</f>
        <v>Yes</v>
      </c>
      <c r="X14" s="182"/>
    </row>
    <row r="15" spans="1:24">
      <c r="B15" s="42"/>
      <c r="H15" s="45">
        <v>2021</v>
      </c>
      <c r="I15" s="66">
        <f>_xlfn.XLOOKUP(H15,$H$42:$H$51,$I$42:$I$51)</f>
        <v>265840</v>
      </c>
      <c r="J15" s="66">
        <f>_xlfn.XLOOKUP(H15,'DCF (Sales)'!$B$24:$B$33,'DCF (Sales)'!$C$24:$C$33)</f>
        <v>15785</v>
      </c>
      <c r="K15" s="80">
        <f>_xlfn.XLOOKUP(H15,$M$42:$M$51,$N$42:$N$51)</f>
        <v>14152.25</v>
      </c>
      <c r="L15" s="67">
        <f>_xlfn.XLOOKUP(H15,'DCF (FCF)'!$B$24:$B$33,'DCF (FCF)'!$C$24:$C$33)</f>
        <v>6882</v>
      </c>
      <c r="N15" s="204"/>
      <c r="O15" s="58" t="s">
        <v>59</v>
      </c>
      <c r="P15" s="74">
        <v>27.74</v>
      </c>
      <c r="Q15" s="74">
        <v>40.39</v>
      </c>
      <c r="R15" s="74">
        <v>28.18</v>
      </c>
      <c r="S15" s="74">
        <v>33.99</v>
      </c>
      <c r="T15" s="74">
        <v>35.479999999999997</v>
      </c>
      <c r="U15" s="82">
        <f t="shared" si="2"/>
        <v>33.155999999999999</v>
      </c>
      <c r="V15" s="74">
        <f>F31</f>
        <v>28.489291153094161</v>
      </c>
      <c r="W15" s="59" t="str" cm="1">
        <f t="array" ref="W15">_xlfn.IFS(V15&gt;U15*1.15,"Yes",V15&lt;U15*0.85,"Yes","TRUE","No")</f>
        <v>No</v>
      </c>
      <c r="X15" s="182"/>
    </row>
    <row r="16" spans="1:24" ht="15.6">
      <c r="B16" s="42"/>
      <c r="C16" s="200" t="s">
        <v>60</v>
      </c>
      <c r="D16" s="201"/>
      <c r="E16" s="201"/>
      <c r="F16" s="202"/>
      <c r="H16" s="45">
        <v>2022</v>
      </c>
      <c r="I16" s="66">
        <f>_xlfn.XLOOKUP(H16,$H$42:$H$51,$I$42:$I$51)</f>
        <v>186752.5575</v>
      </c>
      <c r="J16" s="66">
        <f>_xlfn.XLOOKUP(H16,'DCF (Sales)'!$B$24:$B$33,'DCF (Sales)'!$C$24:$C$33)</f>
        <v>17606</v>
      </c>
      <c r="K16" s="80">
        <f>_xlfn.XLOOKUP(H16,$M$42:$M$51,$N$42:$N$51)</f>
        <v>14046</v>
      </c>
      <c r="L16" s="67">
        <f>_xlfn.XLOOKUP(H16,'DCF (FCF)'!$B$24:$B$33,'DCF (FCF)'!$C$24:$C$33)</f>
        <v>7396</v>
      </c>
      <c r="N16" s="203" t="s">
        <v>42</v>
      </c>
      <c r="O16" t="s">
        <v>56</v>
      </c>
      <c r="P16" s="73">
        <v>4.43</v>
      </c>
      <c r="Q16" s="73">
        <v>9.94</v>
      </c>
      <c r="R16" s="73">
        <v>7.17</v>
      </c>
      <c r="S16" s="73">
        <v>5.32</v>
      </c>
      <c r="T16" s="73">
        <v>3.08</v>
      </c>
      <c r="U16" s="81">
        <f>AVERAGE(P16:T16)</f>
        <v>5.9879999999999995</v>
      </c>
      <c r="V16" s="73">
        <f>D28</f>
        <v>4.136715197930724</v>
      </c>
      <c r="W16" s="57" t="str" cm="1">
        <f t="array" ref="W16">_xlfn.IFS(V16&gt;U16*1.15,"Yes",V16&lt;U16*0.85,"Yes","TRUE","No")</f>
        <v>Yes</v>
      </c>
      <c r="X16" s="182"/>
    </row>
    <row r="17" spans="2:24">
      <c r="B17" s="42"/>
      <c r="C17" s="63" t="s">
        <v>34</v>
      </c>
      <c r="D17" s="64" t="s">
        <v>56</v>
      </c>
      <c r="E17" s="64" t="s">
        <v>57</v>
      </c>
      <c r="F17" s="83" t="s">
        <v>59</v>
      </c>
      <c r="H17" s="45">
        <v>2023</v>
      </c>
      <c r="I17" s="66">
        <f>_xlfn.XLOOKUP(H17,$H$42:$H$51,$I$42:$I$51)</f>
        <v>223308.29</v>
      </c>
      <c r="J17" s="66">
        <f>_xlfn.XLOOKUP(H17,'DCF (Sales)'!$B$24:$B$33,'DCF (Sales)'!$C$24:$C$33)</f>
        <v>19409</v>
      </c>
      <c r="K17" s="80">
        <f>_xlfn.XLOOKUP(H17,$M$42:$M$51,$N$42:$N$51)</f>
        <v>15334.5</v>
      </c>
      <c r="L17" s="67">
        <f>_xlfn.XLOOKUP(H17,'DCF (FCF)'!$B$24:$B$33,'DCF (FCF)'!$C$24:$C$33)</f>
        <v>6942</v>
      </c>
      <c r="N17" s="203"/>
      <c r="O17" t="s">
        <v>57</v>
      </c>
      <c r="P17" s="73">
        <v>3.1</v>
      </c>
      <c r="Q17" s="73">
        <v>7.76</v>
      </c>
      <c r="R17" s="73">
        <v>14.6</v>
      </c>
      <c r="S17" s="73">
        <v>4.3499999999999996</v>
      </c>
      <c r="T17" s="73">
        <v>4.91</v>
      </c>
      <c r="U17" s="81">
        <f t="shared" ref="U17:U18" si="3">AVERAGE(P17:T17)</f>
        <v>6.944</v>
      </c>
      <c r="V17" s="73">
        <f>E28</f>
        <v>8.7030109898477157</v>
      </c>
      <c r="W17" s="57" t="str" cm="1">
        <f t="array" ref="W17">_xlfn.IFS(V17&gt;U17*1.15,"Yes",V17&lt;U17*0.85,"Yes","TRUE","No")</f>
        <v>Yes</v>
      </c>
      <c r="X17" s="182"/>
    </row>
    <row r="18" spans="2:24">
      <c r="B18" s="42"/>
      <c r="C18" s="45">
        <v>2016</v>
      </c>
      <c r="D18" s="84">
        <f>I10/J10</f>
        <v>8.5728300335529379</v>
      </c>
      <c r="E18" s="84">
        <f>I10/K10</f>
        <v>6.8591139914953896</v>
      </c>
      <c r="F18" s="85">
        <f>I10/L10</f>
        <v>25.145776331718871</v>
      </c>
      <c r="H18" s="45">
        <v>2024</v>
      </c>
      <c r="I18" s="66">
        <f>_xlfn.XLOOKUP(H18,$H$42:$H$51,$I$42:$I$51)</f>
        <v>234857.61499999999</v>
      </c>
      <c r="J18" s="66">
        <f>_xlfn.XLOOKUP(H18,'DCF (Sales)'!$B$24:$B$33,'DCF (Sales)'!$C$24:$C$33)</f>
        <v>21505</v>
      </c>
      <c r="K18" s="80">
        <f>_xlfn.XLOOKUP(H18,$M$42:$M$51,$N$42:$N$51)</f>
        <v>14738.25</v>
      </c>
      <c r="L18" s="67">
        <f>_xlfn.XLOOKUP(H18,'DCF (FCF)'!$B$24:$B$33,'DCF (FCF)'!$C$24:$C$33)</f>
        <v>7873</v>
      </c>
      <c r="N18" s="204"/>
      <c r="O18" s="58" t="s">
        <v>59</v>
      </c>
      <c r="P18" s="74">
        <v>12.77</v>
      </c>
      <c r="Q18" s="74">
        <v>39.200000000000003</v>
      </c>
      <c r="R18" s="164" t="s">
        <v>21</v>
      </c>
      <c r="S18" s="74">
        <v>23.13</v>
      </c>
      <c r="T18" s="74">
        <v>9.84</v>
      </c>
      <c r="U18" s="82">
        <f t="shared" si="3"/>
        <v>21.234999999999999</v>
      </c>
      <c r="V18" s="74">
        <f>F28</f>
        <v>9.8047006624987887</v>
      </c>
      <c r="W18" s="59" t="str" cm="1">
        <f t="array" ref="W18">_xlfn.IFS(V18&gt;U18*1.15,"Yes",V18&lt;U18*0.85,"Yes","TRUE","No")</f>
        <v>Yes</v>
      </c>
      <c r="X18" s="182"/>
    </row>
    <row r="19" spans="2:24">
      <c r="B19" s="42"/>
      <c r="C19" s="45">
        <v>2017</v>
      </c>
      <c r="D19" s="73">
        <f t="shared" ref="D19:D28" si="4">I11/J11</f>
        <v>10.117105993901259</v>
      </c>
      <c r="E19" s="73">
        <f t="shared" ref="E19:E27" si="5">I11/K11</f>
        <v>9.2271330932204307</v>
      </c>
      <c r="F19" s="76">
        <f t="shared" ref="F19:F28" si="6">I11/L11</f>
        <v>27.011834070700189</v>
      </c>
      <c r="H19" s="45">
        <v>2025</v>
      </c>
      <c r="I19" s="66">
        <f>_xlfn.XLOOKUP(H19,$H$42:$H$51,$I$42:$I$51)</f>
        <v>163239.63</v>
      </c>
      <c r="J19" s="68">
        <f>_xlfn.XLOOKUP(H19,'DCF (Sales)'!$B$24:$B$33,'DCF (Sales)'!$C$24:$C$33)</f>
        <v>23769</v>
      </c>
      <c r="K19" s="80">
        <f>_xlfn.XLOOKUP(H19,$M$42:$M$51,$N$42:$N$51)</f>
        <v>11984</v>
      </c>
      <c r="L19" s="67">
        <f>_xlfn.XLOOKUP(H19,'DCF (FCF)'!$B$24:$B$33,'DCF (FCF)'!$C$24:$C$33)</f>
        <v>9852</v>
      </c>
      <c r="X19" s="44"/>
    </row>
    <row r="20" spans="2:24">
      <c r="B20" s="42"/>
      <c r="C20" s="45">
        <v>2018</v>
      </c>
      <c r="D20" s="73">
        <f t="shared" si="4"/>
        <v>13.254639420031522</v>
      </c>
      <c r="E20" s="73">
        <f t="shared" si="5"/>
        <v>13.462004040642624</v>
      </c>
      <c r="F20" s="76">
        <f t="shared" si="6"/>
        <v>31.809260575779522</v>
      </c>
      <c r="H20" s="145" t="s">
        <v>43</v>
      </c>
      <c r="I20" s="128">
        <v>101155.096735</v>
      </c>
      <c r="J20" s="68">
        <v>24453</v>
      </c>
      <c r="K20" s="158">
        <v>11623</v>
      </c>
      <c r="L20" s="159">
        <v>10317</v>
      </c>
      <c r="X20" s="44"/>
    </row>
    <row r="21" spans="2:24" ht="16.05" customHeight="1">
      <c r="B21" s="42"/>
      <c r="C21" s="45">
        <v>2019</v>
      </c>
      <c r="D21" s="73">
        <f t="shared" si="4"/>
        <v>12.291903079830389</v>
      </c>
      <c r="E21" s="73">
        <f t="shared" si="5"/>
        <v>13.536685851520597</v>
      </c>
      <c r="F21" s="76">
        <f t="shared" si="6"/>
        <v>34.096129101782971</v>
      </c>
      <c r="N21" s="205" t="s">
        <v>61</v>
      </c>
      <c r="O21" s="206"/>
      <c r="P21" s="207"/>
      <c r="X21" s="44"/>
    </row>
    <row r="22" spans="2:24">
      <c r="B22" s="42"/>
      <c r="C22" s="45">
        <v>2020</v>
      </c>
      <c r="D22" s="73">
        <f t="shared" si="4"/>
        <v>16.117656201429902</v>
      </c>
      <c r="E22" s="73">
        <f t="shared" si="5"/>
        <v>17.909202771841201</v>
      </c>
      <c r="F22" s="76">
        <f t="shared" si="6"/>
        <v>39.073474001507158</v>
      </c>
      <c r="N22" s="208"/>
      <c r="O22" s="209"/>
      <c r="P22" s="210"/>
      <c r="X22" s="44"/>
    </row>
    <row r="23" spans="2:24" ht="16.05" customHeight="1">
      <c r="B23" s="42"/>
      <c r="C23" s="45">
        <v>2021</v>
      </c>
      <c r="D23" s="73">
        <f t="shared" si="4"/>
        <v>16.841305036426988</v>
      </c>
      <c r="E23" s="73">
        <f t="shared" si="5"/>
        <v>18.784292250348884</v>
      </c>
      <c r="F23" s="76">
        <f t="shared" si="6"/>
        <v>38.628305725079919</v>
      </c>
      <c r="H23" s="193" t="s">
        <v>62</v>
      </c>
      <c r="I23" s="194"/>
      <c r="J23" s="194"/>
      <c r="K23" s="194"/>
      <c r="L23" s="195"/>
      <c r="N23" s="43" t="s">
        <v>45</v>
      </c>
      <c r="O23" s="86" t="s">
        <v>63</v>
      </c>
      <c r="P23" s="87" t="s">
        <v>64</v>
      </c>
      <c r="X23" s="44"/>
    </row>
    <row r="24" spans="2:24" ht="16.05" customHeight="1">
      <c r="B24" s="42"/>
      <c r="C24" s="45">
        <v>2022</v>
      </c>
      <c r="D24" s="73">
        <f t="shared" si="4"/>
        <v>10.60732463364762</v>
      </c>
      <c r="E24" s="73">
        <f t="shared" si="5"/>
        <v>13.295782251174712</v>
      </c>
      <c r="F24" s="76">
        <f t="shared" si="6"/>
        <v>25.250481003244996</v>
      </c>
      <c r="H24" s="196"/>
      <c r="I24" s="197"/>
      <c r="J24" s="197"/>
      <c r="K24" s="197"/>
      <c r="L24" s="198"/>
      <c r="N24" s="45" t="s">
        <v>56</v>
      </c>
      <c r="O24" s="35">
        <f>D28/D31</f>
        <v>0.36451421015561442</v>
      </c>
      <c r="P24" s="47">
        <f>D28/D30</f>
        <v>0.35327255660008738</v>
      </c>
      <c r="X24" s="44"/>
    </row>
    <row r="25" spans="2:24">
      <c r="B25" s="42"/>
      <c r="C25" s="45">
        <v>2023</v>
      </c>
      <c r="D25" s="73">
        <f t="shared" si="4"/>
        <v>11.505399041681695</v>
      </c>
      <c r="E25" s="73">
        <f t="shared" si="5"/>
        <v>14.5624761159477</v>
      </c>
      <c r="F25" s="76">
        <f t="shared" si="6"/>
        <v>32.167716796312305</v>
      </c>
      <c r="H25" s="211" t="s">
        <v>65</v>
      </c>
      <c r="I25" s="212"/>
      <c r="J25" s="212"/>
      <c r="K25" s="212"/>
      <c r="L25" s="213"/>
      <c r="M25" s="88"/>
      <c r="N25" s="45" t="s">
        <v>57</v>
      </c>
      <c r="O25" s="35">
        <f>E28/E31</f>
        <v>0.57106926342880115</v>
      </c>
      <c r="P25" s="47">
        <f>E28/E30</f>
        <v>0.63436076682655562</v>
      </c>
      <c r="X25" s="44"/>
    </row>
    <row r="26" spans="2:24" ht="16.05" customHeight="1">
      <c r="B26" s="42"/>
      <c r="C26" s="45">
        <v>2024</v>
      </c>
      <c r="D26" s="73">
        <f t="shared" si="4"/>
        <v>10.921070216228783</v>
      </c>
      <c r="E26" s="73">
        <f t="shared" si="5"/>
        <v>15.93524434719183</v>
      </c>
      <c r="F26" s="76">
        <f t="shared" si="6"/>
        <v>29.83076527372031</v>
      </c>
      <c r="H26" s="214"/>
      <c r="I26" s="215"/>
      <c r="J26" s="215"/>
      <c r="K26" s="215"/>
      <c r="L26" s="216"/>
      <c r="M26" s="88"/>
      <c r="N26" s="48" t="s">
        <v>59</v>
      </c>
      <c r="O26" s="161">
        <f>F28/F31</f>
        <v>0.34415390013780395</v>
      </c>
      <c r="P26" s="162">
        <f>F28/F30</f>
        <v>0.32727834885343676</v>
      </c>
      <c r="X26" s="44"/>
    </row>
    <row r="27" spans="2:24">
      <c r="B27" s="42"/>
      <c r="C27" s="45">
        <v>2025</v>
      </c>
      <c r="D27" s="74">
        <f t="shared" si="4"/>
        <v>6.8677533762463714</v>
      </c>
      <c r="E27" s="74">
        <f t="shared" si="5"/>
        <v>13.621464452603472</v>
      </c>
      <c r="F27" s="77">
        <f t="shared" si="6"/>
        <v>16.569186967113279</v>
      </c>
      <c r="H27" s="223" t="s">
        <v>66</v>
      </c>
      <c r="I27" s="224"/>
      <c r="J27" s="224"/>
      <c r="K27" s="224"/>
      <c r="L27" s="225"/>
      <c r="M27" s="89"/>
      <c r="N27" s="226" t="s">
        <v>118</v>
      </c>
      <c r="O27" s="227"/>
      <c r="P27" s="228"/>
      <c r="X27" s="44"/>
    </row>
    <row r="28" spans="2:24" ht="16.05" customHeight="1">
      <c r="B28" s="42"/>
      <c r="C28" s="145" t="s">
        <v>42</v>
      </c>
      <c r="D28" s="74">
        <f t="shared" si="4"/>
        <v>4.136715197930724</v>
      </c>
      <c r="E28" s="74">
        <f>I20/K20</f>
        <v>8.7030109898477157</v>
      </c>
      <c r="F28" s="77">
        <f t="shared" si="6"/>
        <v>9.8047006624987887</v>
      </c>
      <c r="H28" s="223"/>
      <c r="I28" s="224"/>
      <c r="J28" s="224"/>
      <c r="K28" s="224"/>
      <c r="L28" s="225"/>
      <c r="M28" s="89"/>
      <c r="N28" s="229"/>
      <c r="O28" s="230"/>
      <c r="P28" s="231"/>
      <c r="X28" s="44"/>
    </row>
    <row r="29" spans="2:24">
      <c r="B29" s="42"/>
      <c r="H29" s="223"/>
      <c r="I29" s="224"/>
      <c r="J29" s="224"/>
      <c r="K29" s="224"/>
      <c r="L29" s="225"/>
      <c r="N29" s="232" t="s">
        <v>67</v>
      </c>
      <c r="O29" s="233"/>
      <c r="P29" s="234"/>
      <c r="X29" s="44"/>
    </row>
    <row r="30" spans="2:24" ht="15.6">
      <c r="B30" s="42"/>
      <c r="C30" s="63" t="s">
        <v>69</v>
      </c>
      <c r="D30" s="75">
        <f>AVERAGE(D18:D27)</f>
        <v>11.709698703297748</v>
      </c>
      <c r="E30" s="75">
        <f t="shared" ref="E30:F30" si="7">AVERAGE(E18:E27)</f>
        <v>13.719339916598685</v>
      </c>
      <c r="F30" s="90">
        <f t="shared" si="7"/>
        <v>29.958292984695952</v>
      </c>
      <c r="H30" s="214"/>
      <c r="I30" s="215"/>
      <c r="J30" s="215"/>
      <c r="K30" s="215"/>
      <c r="L30" s="216"/>
      <c r="N30" s="43" t="s">
        <v>45</v>
      </c>
      <c r="O30" s="91" t="s">
        <v>43</v>
      </c>
      <c r="P30" s="92" t="s">
        <v>70</v>
      </c>
      <c r="Q30" s="93" t="s">
        <v>71</v>
      </c>
      <c r="X30" s="44"/>
    </row>
    <row r="31" spans="2:24">
      <c r="B31" s="42"/>
      <c r="C31" s="48" t="s">
        <v>68</v>
      </c>
      <c r="D31" s="74">
        <f>AVERAGE(D23:D27)</f>
        <v>11.348570460846293</v>
      </c>
      <c r="E31" s="74">
        <f t="shared" ref="E31:F31" si="8">AVERAGE(E23:E27)</f>
        <v>15.239851883453321</v>
      </c>
      <c r="F31" s="77">
        <f t="shared" si="8"/>
        <v>28.489291153094161</v>
      </c>
      <c r="N31" s="45" t="s">
        <v>50</v>
      </c>
      <c r="O31" s="66">
        <f>J20</f>
        <v>24453</v>
      </c>
      <c r="P31" s="94">
        <f>(O31*D31)*(1-E12)</f>
        <v>166503.95608744465</v>
      </c>
      <c r="Q31" s="160">
        <f>AVERAGE(P31:P33)</f>
        <v>149712.68174938497</v>
      </c>
      <c r="X31" s="44"/>
    </row>
    <row r="32" spans="2:24" ht="15.6">
      <c r="B32" s="42"/>
      <c r="N32" s="45" t="s">
        <v>72</v>
      </c>
      <c r="O32" s="66">
        <f>K20</f>
        <v>11623</v>
      </c>
      <c r="P32" s="94">
        <f>(O32*E31)*(1-E12)</f>
        <v>106279.67906482678</v>
      </c>
      <c r="Q32" s="93" t="s">
        <v>73</v>
      </c>
      <c r="X32" s="44"/>
    </row>
    <row r="33" spans="2:51">
      <c r="B33" s="42"/>
      <c r="N33" s="48" t="s">
        <v>74</v>
      </c>
      <c r="O33" s="68">
        <f>L20</f>
        <v>10317</v>
      </c>
      <c r="P33" s="95">
        <f>(O33*F31)*(1-E12)</f>
        <v>176354.41009588348</v>
      </c>
      <c r="Q33" s="96">
        <v>101155.096735</v>
      </c>
      <c r="X33" s="44"/>
    </row>
    <row r="34" spans="2:51" ht="15" thickBot="1">
      <c r="B34" s="69"/>
      <c r="C34" s="70"/>
      <c r="D34" s="70"/>
      <c r="E34" s="70"/>
      <c r="F34" s="70"/>
      <c r="G34" s="70"/>
      <c r="H34" s="70"/>
      <c r="I34" s="70"/>
      <c r="J34" s="70"/>
      <c r="K34" s="70"/>
      <c r="L34" s="70"/>
      <c r="M34" s="70"/>
      <c r="N34" s="70"/>
      <c r="O34" s="70"/>
      <c r="P34" s="70"/>
      <c r="Q34" s="70"/>
      <c r="R34" s="70"/>
      <c r="S34" s="70"/>
      <c r="T34" s="70"/>
      <c r="U34" s="70"/>
      <c r="V34" s="70"/>
      <c r="W34" s="70"/>
      <c r="X34" s="71"/>
    </row>
    <row r="38" spans="2:51" ht="15">
      <c r="M38" s="102"/>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4"/>
      <c r="AL38" s="104"/>
      <c r="AM38" s="104"/>
      <c r="AN38" s="104"/>
      <c r="AO38" s="104"/>
      <c r="AP38" s="104"/>
      <c r="AQ38" s="104"/>
      <c r="AR38" s="104"/>
      <c r="AS38" s="104"/>
      <c r="AT38" s="104"/>
      <c r="AU38" s="104"/>
      <c r="AV38" s="104"/>
      <c r="AW38" s="104"/>
      <c r="AX38" s="104"/>
      <c r="AY38" s="104"/>
    </row>
    <row r="39" spans="2:51">
      <c r="G39" s="105" t="s">
        <v>116</v>
      </c>
      <c r="L39" s="105" t="s">
        <v>72</v>
      </c>
    </row>
    <row r="40" spans="2:51">
      <c r="G40" s="146"/>
      <c r="H40" s="147"/>
      <c r="I40" s="147"/>
      <c r="J40" s="147"/>
      <c r="K40" s="148"/>
      <c r="L40" s="146"/>
      <c r="M40" s="147"/>
      <c r="N40" s="147"/>
      <c r="O40" s="147"/>
      <c r="P40" s="148"/>
      <c r="Q40" s="105"/>
    </row>
    <row r="41" spans="2:51">
      <c r="G41" s="149"/>
      <c r="H41" s="150" t="s">
        <v>34</v>
      </c>
      <c r="I41" s="150" t="s">
        <v>110</v>
      </c>
      <c r="J41" s="151"/>
      <c r="K41" s="152"/>
      <c r="L41" s="149"/>
      <c r="M41" s="150" t="s">
        <v>34</v>
      </c>
      <c r="N41" s="150" t="s">
        <v>117</v>
      </c>
      <c r="O41" s="151"/>
      <c r="P41" s="152"/>
    </row>
    <row r="42" spans="2:51">
      <c r="G42" s="149"/>
      <c r="H42" s="151">
        <v>2025</v>
      </c>
      <c r="I42" s="153">
        <f>AVERAGEIFS($J$54:$J$92,$H$54:$H$92,H42)</f>
        <v>163239.63</v>
      </c>
      <c r="J42" s="151"/>
      <c r="K42" s="152"/>
      <c r="L42" s="149"/>
      <c r="M42" s="151">
        <v>2025</v>
      </c>
      <c r="N42" s="153">
        <f>AVERAGEIFS($O$54:$O$92,$M$54:$M$92,M42)</f>
        <v>11984</v>
      </c>
      <c r="O42" s="151"/>
      <c r="P42" s="152"/>
    </row>
    <row r="43" spans="2:51">
      <c r="G43" s="149"/>
      <c r="H43" s="151">
        <v>2024</v>
      </c>
      <c r="I43" s="153">
        <f t="shared" ref="I43:I51" si="9">AVERAGEIFS($J$54:$J$92,$H$54:$H$92,H43)</f>
        <v>234857.61499999999</v>
      </c>
      <c r="J43" s="151"/>
      <c r="K43" s="152"/>
      <c r="L43" s="149"/>
      <c r="M43" s="151">
        <v>2024</v>
      </c>
      <c r="N43" s="153">
        <f t="shared" ref="N43:N51" si="10">AVERAGEIFS($O$54:$O$92,$M$54:$M$92,M43)</f>
        <v>14738.25</v>
      </c>
      <c r="O43" s="151"/>
      <c r="P43" s="152"/>
    </row>
    <row r="44" spans="2:51">
      <c r="G44" s="149"/>
      <c r="H44" s="151">
        <v>2023</v>
      </c>
      <c r="I44" s="153">
        <f t="shared" si="9"/>
        <v>223308.29</v>
      </c>
      <c r="J44" s="151"/>
      <c r="K44" s="152"/>
      <c r="L44" s="149"/>
      <c r="M44" s="151">
        <v>2023</v>
      </c>
      <c r="N44" s="153">
        <f t="shared" si="10"/>
        <v>15334.5</v>
      </c>
      <c r="O44" s="151"/>
      <c r="P44" s="152"/>
    </row>
    <row r="45" spans="2:51">
      <c r="G45" s="149"/>
      <c r="H45" s="151">
        <v>2022</v>
      </c>
      <c r="I45" s="153">
        <f t="shared" si="9"/>
        <v>186752.5575</v>
      </c>
      <c r="J45" s="151"/>
      <c r="K45" s="152"/>
      <c r="L45" s="149"/>
      <c r="M45" s="151">
        <v>2022</v>
      </c>
      <c r="N45" s="153">
        <f t="shared" si="10"/>
        <v>14046</v>
      </c>
      <c r="O45" s="151"/>
      <c r="P45" s="152"/>
    </row>
    <row r="46" spans="2:51">
      <c r="G46" s="149"/>
      <c r="H46" s="151">
        <v>2021</v>
      </c>
      <c r="I46" s="153">
        <f t="shared" si="9"/>
        <v>265840</v>
      </c>
      <c r="J46" s="151"/>
      <c r="K46" s="152"/>
      <c r="L46" s="149"/>
      <c r="M46" s="151">
        <v>2021</v>
      </c>
      <c r="N46" s="153">
        <f t="shared" si="10"/>
        <v>14152.25</v>
      </c>
      <c r="O46" s="151"/>
      <c r="P46" s="152"/>
    </row>
    <row r="47" spans="2:51">
      <c r="G47" s="149"/>
      <c r="H47" s="151">
        <v>2020</v>
      </c>
      <c r="I47" s="153">
        <f t="shared" si="9"/>
        <v>207402</v>
      </c>
      <c r="J47" s="151"/>
      <c r="K47" s="152"/>
      <c r="L47" s="149"/>
      <c r="M47" s="151">
        <v>2020</v>
      </c>
      <c r="N47" s="153">
        <f t="shared" si="10"/>
        <v>11580.75</v>
      </c>
      <c r="O47" s="151"/>
      <c r="P47" s="152"/>
    </row>
    <row r="48" spans="2:51">
      <c r="G48" s="149"/>
      <c r="H48" s="151">
        <v>2019</v>
      </c>
      <c r="I48" s="153">
        <f t="shared" si="9"/>
        <v>137316.5</v>
      </c>
      <c r="J48" s="151"/>
      <c r="K48" s="152"/>
      <c r="L48" s="149"/>
      <c r="M48" s="151">
        <v>2019</v>
      </c>
      <c r="N48" s="153">
        <f t="shared" si="10"/>
        <v>10144.0265</v>
      </c>
      <c r="O48" s="151"/>
      <c r="P48" s="152"/>
    </row>
    <row r="49" spans="7:16">
      <c r="G49" s="149"/>
      <c r="H49" s="151">
        <v>2018</v>
      </c>
      <c r="I49" s="153">
        <f t="shared" si="9"/>
        <v>119689.5</v>
      </c>
      <c r="J49" s="151"/>
      <c r="K49" s="152"/>
      <c r="L49" s="149"/>
      <c r="M49" s="151">
        <v>2018</v>
      </c>
      <c r="N49" s="153">
        <f t="shared" si="10"/>
        <v>8890.9124999999985</v>
      </c>
      <c r="O49" s="151"/>
      <c r="P49" s="152"/>
    </row>
    <row r="50" spans="7:16">
      <c r="G50" s="149"/>
      <c r="H50" s="151">
        <v>2017</v>
      </c>
      <c r="I50" s="153">
        <f t="shared" si="9"/>
        <v>73870.100000000006</v>
      </c>
      <c r="J50" s="151"/>
      <c r="K50" s="152"/>
      <c r="L50" s="149"/>
      <c r="M50" s="151">
        <v>2017</v>
      </c>
      <c r="N50" s="153">
        <f t="shared" si="10"/>
        <v>8005.7477499999995</v>
      </c>
      <c r="O50" s="151"/>
      <c r="P50" s="152"/>
    </row>
    <row r="51" spans="7:16">
      <c r="G51" s="149"/>
      <c r="H51" s="151">
        <v>2016</v>
      </c>
      <c r="I51" s="153">
        <f t="shared" si="9"/>
        <v>50189.033333333326</v>
      </c>
      <c r="J51" s="151"/>
      <c r="K51" s="152"/>
      <c r="L51" s="149"/>
      <c r="M51" s="151">
        <v>2016</v>
      </c>
      <c r="N51" s="153">
        <f t="shared" si="10"/>
        <v>7317.1306666666669</v>
      </c>
      <c r="O51" s="151"/>
      <c r="P51" s="152"/>
    </row>
    <row r="52" spans="7:16">
      <c r="G52" s="149"/>
      <c r="H52" s="151"/>
      <c r="I52" s="151"/>
      <c r="J52" s="151"/>
      <c r="K52" s="152"/>
      <c r="L52" s="149"/>
      <c r="M52" s="151"/>
      <c r="N52" s="151"/>
      <c r="O52" s="151"/>
      <c r="P52" s="152"/>
    </row>
    <row r="53" spans="7:16">
      <c r="G53" s="149"/>
      <c r="H53" s="150" t="s">
        <v>34</v>
      </c>
      <c r="I53" s="150" t="s">
        <v>115</v>
      </c>
      <c r="J53" s="150" t="s">
        <v>109</v>
      </c>
      <c r="K53" s="152"/>
      <c r="L53" s="149"/>
      <c r="M53" s="150" t="s">
        <v>34</v>
      </c>
      <c r="N53" s="150" t="s">
        <v>115</v>
      </c>
      <c r="O53" s="150" t="s">
        <v>72</v>
      </c>
      <c r="P53" s="152"/>
    </row>
    <row r="54" spans="7:16">
      <c r="G54" s="149"/>
      <c r="H54" s="151">
        <v>2025</v>
      </c>
      <c r="I54" s="154" t="s">
        <v>111</v>
      </c>
      <c r="J54" s="153">
        <v>134006.42000000001</v>
      </c>
      <c r="K54" s="152"/>
      <c r="L54" s="149"/>
      <c r="M54" s="151">
        <v>2025</v>
      </c>
      <c r="N54" s="154" t="s">
        <v>111</v>
      </c>
      <c r="O54" s="153">
        <v>11623</v>
      </c>
      <c r="P54" s="152"/>
    </row>
    <row r="55" spans="7:16">
      <c r="G55" s="149"/>
      <c r="H55" s="151">
        <v>2025</v>
      </c>
      <c r="I55" s="154" t="s">
        <v>112</v>
      </c>
      <c r="J55" s="153">
        <v>151312.14000000001</v>
      </c>
      <c r="K55" s="152"/>
      <c r="L55" s="149"/>
      <c r="M55" s="151">
        <v>2025</v>
      </c>
      <c r="N55" s="154" t="s">
        <v>112</v>
      </c>
      <c r="O55" s="153">
        <v>11770</v>
      </c>
      <c r="P55" s="152"/>
    </row>
    <row r="56" spans="7:16">
      <c r="G56" s="149"/>
      <c r="H56" s="151">
        <v>2025</v>
      </c>
      <c r="I56" s="154" t="s">
        <v>113</v>
      </c>
      <c r="J56" s="153">
        <v>176911.35999999999</v>
      </c>
      <c r="K56" s="152"/>
      <c r="L56" s="149"/>
      <c r="M56" s="151">
        <v>2025</v>
      </c>
      <c r="N56" s="154" t="s">
        <v>113</v>
      </c>
      <c r="O56" s="153">
        <v>11448</v>
      </c>
      <c r="P56" s="152"/>
    </row>
    <row r="57" spans="7:16">
      <c r="G57" s="149"/>
      <c r="H57" s="151">
        <v>2025</v>
      </c>
      <c r="I57" s="154" t="s">
        <v>114</v>
      </c>
      <c r="J57" s="153">
        <v>190728.6</v>
      </c>
      <c r="K57" s="152"/>
      <c r="L57" s="149"/>
      <c r="M57" s="151">
        <v>2025</v>
      </c>
      <c r="N57" s="154" t="s">
        <v>114</v>
      </c>
      <c r="O57" s="153">
        <v>13095</v>
      </c>
      <c r="P57" s="152"/>
    </row>
    <row r="58" spans="7:16">
      <c r="G58" s="149"/>
      <c r="H58" s="151">
        <v>2024</v>
      </c>
      <c r="I58" s="154" t="s">
        <v>111</v>
      </c>
      <c r="J58" s="153">
        <v>227112.39</v>
      </c>
      <c r="K58" s="152"/>
      <c r="L58" s="149"/>
      <c r="M58" s="151">
        <v>2024</v>
      </c>
      <c r="N58" s="154" t="s">
        <v>111</v>
      </c>
      <c r="O58" s="153">
        <v>14105</v>
      </c>
      <c r="P58" s="152"/>
    </row>
    <row r="59" spans="7:16">
      <c r="G59" s="149"/>
      <c r="H59" s="151">
        <v>2024</v>
      </c>
      <c r="I59" s="154" t="s">
        <v>112</v>
      </c>
      <c r="J59" s="153">
        <v>254693.39</v>
      </c>
      <c r="K59" s="152"/>
      <c r="L59" s="149"/>
      <c r="M59" s="151">
        <v>2024</v>
      </c>
      <c r="N59" s="154" t="s">
        <v>112</v>
      </c>
      <c r="O59" s="153">
        <v>14545</v>
      </c>
      <c r="P59" s="152"/>
    </row>
    <row r="60" spans="7:16">
      <c r="G60" s="149"/>
      <c r="H60" s="151">
        <v>2024</v>
      </c>
      <c r="I60" s="154" t="s">
        <v>113</v>
      </c>
      <c r="J60" s="153">
        <v>199252.48000000001</v>
      </c>
      <c r="K60" s="152"/>
      <c r="L60" s="149"/>
      <c r="M60" s="151">
        <v>2024</v>
      </c>
      <c r="N60" s="154" t="s">
        <v>113</v>
      </c>
      <c r="O60" s="153">
        <v>14843</v>
      </c>
      <c r="P60" s="152"/>
    </row>
    <row r="61" spans="7:16">
      <c r="G61" s="149"/>
      <c r="H61" s="151">
        <v>2024</v>
      </c>
      <c r="I61" s="154" t="s">
        <v>114</v>
      </c>
      <c r="J61" s="153">
        <v>258372.2</v>
      </c>
      <c r="K61" s="152"/>
      <c r="L61" s="149"/>
      <c r="M61" s="151">
        <v>2024</v>
      </c>
      <c r="N61" s="154" t="s">
        <v>114</v>
      </c>
      <c r="O61" s="153">
        <v>15460</v>
      </c>
      <c r="P61" s="152"/>
    </row>
    <row r="62" spans="7:16">
      <c r="G62" s="149"/>
      <c r="H62" s="151">
        <v>2023</v>
      </c>
      <c r="I62" s="154" t="s">
        <v>111</v>
      </c>
      <c r="J62" s="153">
        <v>278857.59999999998</v>
      </c>
      <c r="K62" s="152"/>
      <c r="L62" s="149"/>
      <c r="M62" s="151">
        <v>2023</v>
      </c>
      <c r="N62" s="154" t="s">
        <v>111</v>
      </c>
      <c r="O62" s="153">
        <v>16518</v>
      </c>
      <c r="P62" s="152"/>
    </row>
    <row r="63" spans="7:16">
      <c r="G63" s="149"/>
      <c r="H63" s="151">
        <v>2023</v>
      </c>
      <c r="I63" s="154" t="s">
        <v>112</v>
      </c>
      <c r="J63" s="153">
        <v>256711.12</v>
      </c>
      <c r="K63" s="152"/>
      <c r="L63" s="149"/>
      <c r="M63" s="151">
        <v>2023</v>
      </c>
      <c r="N63" s="154" t="s">
        <v>112</v>
      </c>
      <c r="O63" s="153">
        <v>15776</v>
      </c>
      <c r="P63" s="152"/>
    </row>
    <row r="64" spans="7:16">
      <c r="G64" s="149"/>
      <c r="H64" s="151">
        <v>2023</v>
      </c>
      <c r="I64" s="154" t="s">
        <v>113</v>
      </c>
      <c r="J64" s="153">
        <v>200162.92</v>
      </c>
      <c r="K64" s="152"/>
      <c r="L64" s="149"/>
      <c r="M64" s="151">
        <v>2023</v>
      </c>
      <c r="N64" s="154" t="s">
        <v>113</v>
      </c>
      <c r="O64" s="153">
        <v>14838</v>
      </c>
      <c r="P64" s="152"/>
    </row>
    <row r="65" spans="7:16">
      <c r="G65" s="149"/>
      <c r="H65" s="151">
        <v>2023</v>
      </c>
      <c r="I65" s="154" t="s">
        <v>114</v>
      </c>
      <c r="J65" s="153">
        <v>157501.51999999999</v>
      </c>
      <c r="K65" s="152"/>
      <c r="L65" s="149"/>
      <c r="M65" s="151">
        <v>2023</v>
      </c>
      <c r="N65" s="154" t="s">
        <v>114</v>
      </c>
      <c r="O65" s="153">
        <v>14206</v>
      </c>
      <c r="P65" s="152"/>
    </row>
    <row r="66" spans="7:16">
      <c r="G66" s="149"/>
      <c r="H66" s="151">
        <v>2022</v>
      </c>
      <c r="I66" s="154" t="s">
        <v>111</v>
      </c>
      <c r="J66" s="153">
        <v>158777.29999999999</v>
      </c>
      <c r="K66" s="152"/>
      <c r="L66" s="149"/>
      <c r="M66" s="151">
        <v>2022</v>
      </c>
      <c r="N66" s="154" t="s">
        <v>111</v>
      </c>
      <c r="O66" s="153">
        <v>14051</v>
      </c>
      <c r="P66" s="152"/>
    </row>
    <row r="67" spans="7:16">
      <c r="G67" s="149"/>
      <c r="H67" s="151">
        <v>2022</v>
      </c>
      <c r="I67" s="154" t="s">
        <v>112</v>
      </c>
      <c r="J67" s="153">
        <v>171901.61</v>
      </c>
      <c r="K67" s="152"/>
      <c r="L67" s="149"/>
      <c r="M67" s="151">
        <v>2022</v>
      </c>
      <c r="N67" s="154" t="s">
        <v>112</v>
      </c>
      <c r="O67" s="153">
        <v>14373</v>
      </c>
      <c r="P67" s="152"/>
    </row>
    <row r="68" spans="7:16">
      <c r="G68" s="149"/>
      <c r="H68" s="151">
        <v>2022</v>
      </c>
      <c r="I68" s="154" t="s">
        <v>113</v>
      </c>
      <c r="J68" s="153">
        <v>203061.6</v>
      </c>
      <c r="K68" s="152"/>
      <c r="L68" s="149"/>
      <c r="M68" s="151">
        <v>2022</v>
      </c>
      <c r="N68" s="154" t="s">
        <v>113</v>
      </c>
      <c r="O68" s="153">
        <v>13985</v>
      </c>
      <c r="P68" s="152"/>
    </row>
    <row r="69" spans="7:16">
      <c r="G69" s="149"/>
      <c r="H69" s="151">
        <v>2022</v>
      </c>
      <c r="I69" s="154" t="s">
        <v>114</v>
      </c>
      <c r="J69" s="153">
        <v>213269.72</v>
      </c>
      <c r="K69" s="152"/>
      <c r="L69" s="149"/>
      <c r="M69" s="151">
        <v>2022</v>
      </c>
      <c r="N69" s="154" t="s">
        <v>114</v>
      </c>
      <c r="O69" s="153">
        <v>13775</v>
      </c>
      <c r="P69" s="152"/>
    </row>
    <row r="70" spans="7:16">
      <c r="G70" s="149"/>
      <c r="H70" s="151">
        <v>2021</v>
      </c>
      <c r="I70" s="154" t="s">
        <v>111</v>
      </c>
      <c r="J70" s="153">
        <v>293345</v>
      </c>
      <c r="K70" s="152"/>
      <c r="L70" s="149"/>
      <c r="M70" s="151">
        <v>2021</v>
      </c>
      <c r="N70" s="154" t="s">
        <v>111</v>
      </c>
      <c r="O70" s="153">
        <v>14797</v>
      </c>
      <c r="P70" s="152"/>
    </row>
    <row r="71" spans="7:16">
      <c r="G71" s="149"/>
      <c r="H71" s="151">
        <v>2021</v>
      </c>
      <c r="I71" s="154" t="s">
        <v>112</v>
      </c>
      <c r="J71" s="153">
        <v>317563</v>
      </c>
      <c r="K71" s="152"/>
      <c r="L71" s="149"/>
      <c r="M71" s="151">
        <v>2021</v>
      </c>
      <c r="N71" s="154" t="s">
        <v>112</v>
      </c>
      <c r="O71" s="153">
        <v>14414</v>
      </c>
      <c r="P71" s="152"/>
    </row>
    <row r="72" spans="7:16">
      <c r="G72" s="149"/>
      <c r="H72" s="151">
        <v>2021</v>
      </c>
      <c r="I72" s="154" t="s">
        <v>113</v>
      </c>
      <c r="J72" s="153">
        <v>241151</v>
      </c>
      <c r="K72" s="152"/>
      <c r="L72" s="149"/>
      <c r="M72" s="151">
        <v>2021</v>
      </c>
      <c r="N72" s="154" t="s">
        <v>113</v>
      </c>
      <c r="O72" s="153">
        <v>13852</v>
      </c>
      <c r="P72" s="152"/>
    </row>
    <row r="73" spans="7:16">
      <c r="G73" s="149"/>
      <c r="H73" s="151">
        <v>2021</v>
      </c>
      <c r="I73" s="154" t="s">
        <v>114</v>
      </c>
      <c r="J73" s="153">
        <v>211301</v>
      </c>
      <c r="K73" s="152"/>
      <c r="L73" s="149"/>
      <c r="M73" s="151">
        <v>2021</v>
      </c>
      <c r="N73" s="154" t="s">
        <v>114</v>
      </c>
      <c r="O73" s="153">
        <v>13546</v>
      </c>
      <c r="P73" s="152"/>
    </row>
    <row r="74" spans="7:16">
      <c r="G74" s="149"/>
      <c r="H74" s="151">
        <v>2020</v>
      </c>
      <c r="I74" s="154" t="s">
        <v>111</v>
      </c>
      <c r="J74" s="153">
        <v>228840</v>
      </c>
      <c r="K74" s="152"/>
      <c r="L74" s="149"/>
      <c r="M74" s="151">
        <v>2020</v>
      </c>
      <c r="N74" s="154" t="s">
        <v>111</v>
      </c>
      <c r="O74" s="153">
        <v>13264</v>
      </c>
      <c r="P74" s="152"/>
    </row>
    <row r="75" spans="7:16">
      <c r="G75" s="149"/>
      <c r="H75" s="151">
        <v>2020</v>
      </c>
      <c r="I75" s="154" t="s">
        <v>112</v>
      </c>
      <c r="J75" s="153">
        <v>247718</v>
      </c>
      <c r="K75" s="152"/>
      <c r="L75" s="149"/>
      <c r="M75" s="151">
        <v>2020</v>
      </c>
      <c r="N75" s="154" t="s">
        <v>112</v>
      </c>
      <c r="O75" s="153">
        <v>11713</v>
      </c>
      <c r="P75" s="152"/>
    </row>
    <row r="76" spans="7:16">
      <c r="G76" s="149"/>
      <c r="H76" s="151">
        <v>2020</v>
      </c>
      <c r="I76" s="154" t="s">
        <v>113</v>
      </c>
      <c r="J76" s="153">
        <v>186264</v>
      </c>
      <c r="K76" s="152"/>
      <c r="L76" s="149"/>
      <c r="M76" s="151">
        <v>2020</v>
      </c>
      <c r="N76" s="154" t="s">
        <v>113</v>
      </c>
      <c r="O76" s="153">
        <v>10881</v>
      </c>
      <c r="P76" s="152"/>
    </row>
    <row r="77" spans="7:16">
      <c r="G77" s="149"/>
      <c r="H77" s="151">
        <v>2020</v>
      </c>
      <c r="I77" s="154" t="s">
        <v>114</v>
      </c>
      <c r="J77" s="153">
        <v>166786</v>
      </c>
      <c r="K77" s="152"/>
      <c r="L77" s="149"/>
      <c r="M77" s="151">
        <v>2020</v>
      </c>
      <c r="N77" s="154" t="s">
        <v>114</v>
      </c>
      <c r="O77" s="153">
        <v>10465</v>
      </c>
      <c r="P77" s="152"/>
    </row>
    <row r="78" spans="7:16">
      <c r="G78" s="149"/>
      <c r="H78" s="151">
        <v>2019</v>
      </c>
      <c r="I78" s="154" t="s">
        <v>111</v>
      </c>
      <c r="J78" s="153">
        <v>149837</v>
      </c>
      <c r="K78" s="152"/>
      <c r="L78" s="149"/>
      <c r="M78" s="151">
        <v>2019</v>
      </c>
      <c r="N78" s="154" t="s">
        <v>111</v>
      </c>
      <c r="O78" s="153">
        <v>10530.155000000001</v>
      </c>
      <c r="P78" s="152"/>
    </row>
    <row r="79" spans="7:16">
      <c r="G79" s="149"/>
      <c r="H79" s="151">
        <v>2019</v>
      </c>
      <c r="I79" s="154" t="s">
        <v>112</v>
      </c>
      <c r="J79" s="153">
        <v>138112</v>
      </c>
      <c r="K79" s="152"/>
      <c r="L79" s="149"/>
      <c r="M79" s="151">
        <v>2019</v>
      </c>
      <c r="N79" s="154" t="s">
        <v>112</v>
      </c>
      <c r="O79" s="153">
        <v>10242.772999999999</v>
      </c>
      <c r="P79" s="152"/>
    </row>
    <row r="80" spans="7:16">
      <c r="G80" s="149"/>
      <c r="H80" s="151">
        <v>2019</v>
      </c>
      <c r="I80" s="154" t="s">
        <v>113</v>
      </c>
      <c r="J80" s="153">
        <v>132186</v>
      </c>
      <c r="K80" s="152"/>
      <c r="L80" s="149"/>
      <c r="M80" s="151">
        <v>2019</v>
      </c>
      <c r="N80" s="154" t="s">
        <v>113</v>
      </c>
      <c r="O80" s="153">
        <v>9931.6929999999993</v>
      </c>
      <c r="P80" s="152"/>
    </row>
    <row r="81" spans="7:16">
      <c r="G81" s="149"/>
      <c r="H81" s="151">
        <v>2019</v>
      </c>
      <c r="I81" s="154" t="s">
        <v>114</v>
      </c>
      <c r="J81" s="153">
        <v>129131</v>
      </c>
      <c r="K81" s="152"/>
      <c r="L81" s="149"/>
      <c r="M81" s="151">
        <v>2019</v>
      </c>
      <c r="N81" s="154" t="s">
        <v>114</v>
      </c>
      <c r="O81" s="153">
        <v>9871.4850000000006</v>
      </c>
      <c r="P81" s="152"/>
    </row>
    <row r="82" spans="7:16">
      <c r="G82" s="149"/>
      <c r="H82" s="151">
        <v>2018</v>
      </c>
      <c r="I82" s="154" t="s">
        <v>111</v>
      </c>
      <c r="J82" s="153">
        <v>122468</v>
      </c>
      <c r="K82" s="152"/>
      <c r="L82" s="149"/>
      <c r="M82" s="151">
        <v>2018</v>
      </c>
      <c r="N82" s="154" t="s">
        <v>111</v>
      </c>
      <c r="O82" s="153">
        <v>9362.1139999999996</v>
      </c>
      <c r="P82" s="152"/>
    </row>
    <row r="83" spans="7:16">
      <c r="G83" s="149"/>
      <c r="H83" s="151">
        <v>2018</v>
      </c>
      <c r="I83" s="154" t="s">
        <v>112</v>
      </c>
      <c r="J83" s="153">
        <v>129031</v>
      </c>
      <c r="K83" s="152"/>
      <c r="L83" s="149"/>
      <c r="M83" s="151">
        <v>2018</v>
      </c>
      <c r="N83" s="154" t="s">
        <v>112</v>
      </c>
      <c r="O83" s="153">
        <v>8861.9249999999993</v>
      </c>
      <c r="P83" s="152"/>
    </row>
    <row r="84" spans="7:16">
      <c r="G84" s="149"/>
      <c r="H84" s="151">
        <v>2018</v>
      </c>
      <c r="I84" s="154" t="s">
        <v>113</v>
      </c>
      <c r="J84" s="153">
        <v>123763</v>
      </c>
      <c r="K84" s="152"/>
      <c r="L84" s="149"/>
      <c r="M84" s="151">
        <v>2018</v>
      </c>
      <c r="N84" s="154" t="s">
        <v>113</v>
      </c>
      <c r="O84" s="153">
        <v>8705.5830000000005</v>
      </c>
      <c r="P84" s="152"/>
    </row>
    <row r="85" spans="7:16">
      <c r="G85" s="149"/>
      <c r="H85" s="151">
        <v>2018</v>
      </c>
      <c r="I85" s="154" t="s">
        <v>114</v>
      </c>
      <c r="J85" s="153">
        <v>103496</v>
      </c>
      <c r="K85" s="152"/>
      <c r="L85" s="149"/>
      <c r="M85" s="151">
        <v>2018</v>
      </c>
      <c r="N85" s="154" t="s">
        <v>114</v>
      </c>
      <c r="O85" s="153">
        <v>8634.0280000000002</v>
      </c>
      <c r="P85" s="152"/>
    </row>
    <row r="86" spans="7:16">
      <c r="G86" s="149"/>
      <c r="H86" s="151">
        <v>2017</v>
      </c>
      <c r="I86" s="154" t="s">
        <v>111</v>
      </c>
      <c r="J86" s="153">
        <v>88493.1</v>
      </c>
      <c r="K86" s="152"/>
      <c r="L86" s="149"/>
      <c r="M86" s="151">
        <v>2017</v>
      </c>
      <c r="N86" s="154" t="s">
        <v>111</v>
      </c>
      <c r="O86" s="153">
        <v>8459.8690000000006</v>
      </c>
      <c r="P86" s="152"/>
    </row>
    <row r="87" spans="7:16">
      <c r="G87" s="149"/>
      <c r="H87" s="151">
        <v>2017</v>
      </c>
      <c r="I87" s="154" t="s">
        <v>112</v>
      </c>
      <c r="J87" s="153">
        <v>76507.5</v>
      </c>
      <c r="K87" s="152"/>
      <c r="L87" s="149"/>
      <c r="M87" s="151">
        <v>2017</v>
      </c>
      <c r="N87" s="154" t="s">
        <v>112</v>
      </c>
      <c r="O87" s="153">
        <v>8170.4340000000002</v>
      </c>
      <c r="P87" s="152"/>
    </row>
    <row r="88" spans="7:16">
      <c r="G88" s="149"/>
      <c r="H88" s="151">
        <v>2017</v>
      </c>
      <c r="I88" s="154" t="s">
        <v>113</v>
      </c>
      <c r="J88" s="153">
        <v>70979.3</v>
      </c>
      <c r="K88" s="152"/>
      <c r="L88" s="149"/>
      <c r="M88" s="151">
        <v>2017</v>
      </c>
      <c r="N88" s="154" t="s">
        <v>113</v>
      </c>
      <c r="O88" s="153">
        <v>7803.9979999999996</v>
      </c>
      <c r="P88" s="152"/>
    </row>
    <row r="89" spans="7:16">
      <c r="G89" s="149"/>
      <c r="H89" s="151">
        <v>2017</v>
      </c>
      <c r="I89" s="154" t="s">
        <v>114</v>
      </c>
      <c r="J89" s="153">
        <v>59500.5</v>
      </c>
      <c r="K89" s="152"/>
      <c r="L89" s="149"/>
      <c r="M89" s="151">
        <v>2017</v>
      </c>
      <c r="N89" s="154" t="s">
        <v>114</v>
      </c>
      <c r="O89" s="153">
        <v>7588.69</v>
      </c>
      <c r="P89" s="152"/>
    </row>
    <row r="90" spans="7:16">
      <c r="G90" s="149"/>
      <c r="H90" s="151">
        <v>2016</v>
      </c>
      <c r="I90" s="154" t="s">
        <v>111</v>
      </c>
      <c r="J90" s="153">
        <v>49588.4</v>
      </c>
      <c r="K90" s="152"/>
      <c r="L90" s="149"/>
      <c r="M90" s="151">
        <v>2016</v>
      </c>
      <c r="N90" s="154" t="s">
        <v>111</v>
      </c>
      <c r="O90" s="153">
        <v>7424.835</v>
      </c>
      <c r="P90" s="152"/>
    </row>
    <row r="91" spans="7:16">
      <c r="G91" s="149"/>
      <c r="H91" s="151">
        <v>2016</v>
      </c>
      <c r="I91" s="154" t="s">
        <v>112</v>
      </c>
      <c r="J91" s="153">
        <v>51608</v>
      </c>
      <c r="K91" s="152"/>
      <c r="L91" s="149"/>
      <c r="M91" s="151">
        <v>2016</v>
      </c>
      <c r="N91" s="154" t="s">
        <v>112</v>
      </c>
      <c r="O91" s="153">
        <v>7277.9459999999999</v>
      </c>
      <c r="P91" s="152"/>
    </row>
    <row r="92" spans="7:16">
      <c r="G92" s="149"/>
      <c r="H92" s="151">
        <v>2016</v>
      </c>
      <c r="I92" s="154" t="s">
        <v>113</v>
      </c>
      <c r="J92" s="153">
        <v>49370.7</v>
      </c>
      <c r="K92" s="152"/>
      <c r="L92" s="149"/>
      <c r="M92" s="151">
        <v>2016</v>
      </c>
      <c r="N92" s="154" t="s">
        <v>113</v>
      </c>
      <c r="O92" s="153">
        <v>7248.6109999999999</v>
      </c>
      <c r="P92" s="152"/>
    </row>
    <row r="93" spans="7:16">
      <c r="G93" s="155"/>
      <c r="H93" s="156"/>
      <c r="I93" s="156"/>
      <c r="J93" s="156"/>
      <c r="K93" s="157"/>
      <c r="L93" s="155"/>
      <c r="M93" s="156"/>
      <c r="N93" s="156"/>
      <c r="O93" s="156"/>
      <c r="P93" s="157"/>
    </row>
  </sheetData>
  <mergeCells count="24">
    <mergeCell ref="H27:L30"/>
    <mergeCell ref="N27:P28"/>
    <mergeCell ref="N29:P29"/>
    <mergeCell ref="C16:F16"/>
    <mergeCell ref="N16:N18"/>
    <mergeCell ref="N21:P22"/>
    <mergeCell ref="H23:L24"/>
    <mergeCell ref="H25:L26"/>
    <mergeCell ref="U8:U9"/>
    <mergeCell ref="V8:V9"/>
    <mergeCell ref="W8:W9"/>
    <mergeCell ref="C10:F11"/>
    <mergeCell ref="N10:N12"/>
    <mergeCell ref="D12:D13"/>
    <mergeCell ref="E12:E13"/>
    <mergeCell ref="N13:N15"/>
    <mergeCell ref="H7:L7"/>
    <mergeCell ref="N7:W7"/>
    <mergeCell ref="H8:H9"/>
    <mergeCell ref="I8:I9"/>
    <mergeCell ref="J8:J9"/>
    <mergeCell ref="K8:K9"/>
    <mergeCell ref="L8:L9"/>
    <mergeCell ref="X10:X18"/>
  </mergeCells>
  <phoneticPr fontId="24" type="noConversion"/>
  <conditionalFormatting sqref="O24:P26">
    <cfRule type="cellIs" dxfId="6" priority="92" operator="between">
      <formula>1-E12</formula>
      <formula>1</formula>
    </cfRule>
    <cfRule type="cellIs" dxfId="5" priority="93" operator="greaterThan">
      <formula>1</formula>
    </cfRule>
    <cfRule type="cellIs" dxfId="4" priority="94" operator="lessThan">
      <formula>1-E12</formula>
    </cfRule>
  </conditionalFormatting>
  <conditionalFormatting sqref="Q31">
    <cfRule type="cellIs" dxfId="3" priority="25" operator="lessThan">
      <formula>$Q$33</formula>
    </cfRule>
    <cfRule type="cellIs" dxfId="2" priority="26" operator="greaterThan">
      <formula>$Q$33</formula>
    </cfRule>
  </conditionalFormatting>
  <conditionalFormatting sqref="W10:W18">
    <cfRule type="cellIs" dxfId="1" priority="45" operator="equal">
      <formula>"No"</formula>
    </cfRule>
    <cfRule type="cellIs" dxfId="0" priority="46" operator="equal">
      <formula>"Yes"</formula>
    </cfRule>
  </conditionalFormatting>
  <dataValidations count="1">
    <dataValidation type="list" allowBlank="1" showInputMessage="1" showErrorMessage="1" sqref="E12" xr:uid="{5F027227-2907-4E55-BB23-A711C93181A4}">
      <formula1>"15%,20%,25%,30%,35%,40%,45%,50%"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Valuation&gt;&gt;</vt:lpstr>
      <vt:lpstr>Price Target Summary</vt:lpstr>
      <vt:lpstr>DCF (FCF)</vt:lpstr>
      <vt:lpstr>DCF (OCF)</vt:lpstr>
      <vt:lpstr>DCF (Sales)</vt:lpstr>
      <vt:lpstr>DCF (EPS)</vt:lpstr>
      <vt:lpstr>Historical Multiples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Ryne Maxwell</dc:creator>
  <cp:lastModifiedBy>PwC</cp:lastModifiedBy>
  <dcterms:created xsi:type="dcterms:W3CDTF">2015-06-05T18:17:20Z</dcterms:created>
  <dcterms:modified xsi:type="dcterms:W3CDTF">2026-03-22T15:20:20Z</dcterms:modified>
</cp:coreProperties>
</file>